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9545B915-5BC9-488A-948A-286D9F1D6D34}" xr6:coauthVersionLast="47" xr6:coauthVersionMax="47" xr10:uidLastSave="{00000000-0000-0000-0000-000000000000}"/>
  <bookViews>
    <workbookView xWindow="-108" yWindow="-108" windowWidth="23256" windowHeight="12456" firstSheet="18"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legislation" sheetId="62" r:id="rId10"/>
    <sheet name="December MPI - PCE" sheetId="72" r:id="rId11"/>
    <sheet name="historical overrides" sheetId="50" r:id="rId12"/>
    <sheet name="deflators_override" sheetId="71"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5" l="1"/>
  <c r="U59" i="59" l="1"/>
  <c r="U61" i="59" s="1"/>
  <c r="U60" i="59" s="1"/>
  <c r="V59" i="59" l="1"/>
  <c r="V61" i="59" s="1"/>
  <c r="V60" i="59"/>
  <c r="W59" i="59" l="1"/>
  <c r="W61" i="59" s="1"/>
  <c r="W60" i="59"/>
  <c r="X60" i="59" l="1"/>
  <c r="X59" i="59"/>
  <c r="X61" i="59" s="1"/>
  <c r="Y59" i="59" l="1"/>
  <c r="Y61" i="59" s="1"/>
  <c r="Y60" i="59" s="1"/>
  <c r="Z60" i="59" l="1"/>
  <c r="Z59" i="59"/>
  <c r="Z61" i="59" s="1"/>
  <c r="AA60" i="59" l="1"/>
  <c r="AA59" i="59"/>
  <c r="AA61" i="59" s="1"/>
  <c r="AB59" i="59" l="1"/>
  <c r="AB61" i="59" s="1"/>
  <c r="AB60" i="59" s="1"/>
  <c r="AC59" i="59" l="1"/>
  <c r="AC61" i="59" s="1"/>
  <c r="AC60" i="59" s="1"/>
  <c r="K38" i="73" l="1"/>
  <c r="K37" i="73"/>
  <c r="K32" i="73"/>
  <c r="K31" i="73"/>
  <c r="AC26" i="20"/>
  <c r="AC25" i="2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F81" i="21" s="1"/>
  <c r="M11" i="21"/>
  <c r="L11" i="21"/>
  <c r="K11" i="21"/>
  <c r="J11" i="21"/>
  <c r="I11" i="21"/>
  <c r="H11" i="21"/>
  <c r="G11" i="21"/>
  <c r="F11" i="21"/>
  <c r="D81" i="21" s="1"/>
  <c r="M9" i="21"/>
  <c r="P3" i="21"/>
  <c r="E1"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O6" i="6"/>
  <c r="N6" i="6"/>
  <c r="M6" i="6"/>
  <c r="N3" i="21" s="1"/>
  <c r="L6" i="6"/>
  <c r="M3" i="21" s="1"/>
  <c r="K6" i="6"/>
  <c r="L3" i="21" s="1"/>
  <c r="J6" i="6"/>
  <c r="K3" i="21" s="1"/>
  <c r="I6" i="6"/>
  <c r="J3" i="21" s="1"/>
  <c r="H6" i="6"/>
  <c r="I3" i="21" s="1"/>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M16" i="5" s="1"/>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U9" i="21" s="1"/>
  <c r="I9" i="5"/>
  <c r="H9" i="5"/>
  <c r="G9" i="5"/>
  <c r="F9" i="5"/>
  <c r="E9" i="5"/>
  <c r="D9" i="5"/>
  <c r="C9" i="5"/>
  <c r="B9" i="5"/>
  <c r="N8" i="5"/>
  <c r="M8" i="5"/>
  <c r="K8" i="5"/>
  <c r="J8" i="5"/>
  <c r="I8" i="5"/>
  <c r="H8" i="5"/>
  <c r="N7" i="21" s="1"/>
  <c r="G8" i="5"/>
  <c r="D8" i="5"/>
  <c r="C8" i="5"/>
  <c r="F8" i="5" s="1"/>
  <c r="B8" i="5"/>
  <c r="N7" i="5"/>
  <c r="M7" i="5"/>
  <c r="K7" i="5"/>
  <c r="J7" i="5"/>
  <c r="I7" i="5"/>
  <c r="H7" i="5"/>
  <c r="G7" i="5"/>
  <c r="F7" i="5"/>
  <c r="E7" i="5"/>
  <c r="D7" i="5"/>
  <c r="C7" i="5"/>
  <c r="B7" i="5"/>
  <c r="N6" i="5"/>
  <c r="M6" i="5"/>
  <c r="K6" i="5"/>
  <c r="J6" i="5"/>
  <c r="I6" i="5"/>
  <c r="I16" i="5" s="1"/>
  <c r="H6" i="5"/>
  <c r="F7" i="21" s="1"/>
  <c r="G6" i="5"/>
  <c r="D6" i="5"/>
  <c r="C6" i="5"/>
  <c r="F6" i="5" s="1"/>
  <c r="B6" i="5"/>
  <c r="E6" i="5" s="1"/>
  <c r="N5" i="5"/>
  <c r="M5" i="5"/>
  <c r="C12" i="21" s="1"/>
  <c r="L5" i="5"/>
  <c r="C11" i="21" s="1"/>
  <c r="K5" i="5"/>
  <c r="C10" i="21" s="1"/>
  <c r="J5" i="5"/>
  <c r="C9" i="21" s="1"/>
  <c r="I5" i="5"/>
  <c r="C8" i="21" s="1"/>
  <c r="H5" i="5"/>
  <c r="C7" i="21" s="1"/>
  <c r="G5" i="5"/>
  <c r="F5" i="5"/>
  <c r="C5" i="21" s="1"/>
  <c r="D5" i="5"/>
  <c r="D16" i="5" s="1"/>
  <c r="C5" i="5"/>
  <c r="C16"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I178" i="65"/>
  <c r="M177" i="65"/>
  <c r="E177" i="65"/>
  <c r="F192" i="65" s="1"/>
  <c r="G192" i="65" s="1"/>
  <c r="H192" i="65" s="1"/>
  <c r="I192" i="65" s="1"/>
  <c r="I176" i="65"/>
  <c r="M175" i="65"/>
  <c r="E175" i="65"/>
  <c r="F190" i="65" s="1"/>
  <c r="G190" i="65" s="1"/>
  <c r="H190" i="65" s="1"/>
  <c r="I190" i="65" s="1"/>
  <c r="I174" i="65"/>
  <c r="M172" i="65"/>
  <c r="E172" i="65"/>
  <c r="F187" i="65" s="1"/>
  <c r="G187" i="65" s="1"/>
  <c r="H187" i="65" s="1"/>
  <c r="I187" i="65" s="1"/>
  <c r="I171" i="65"/>
  <c r="M170" i="65"/>
  <c r="E170" i="65"/>
  <c r="F185" i="65" s="1"/>
  <c r="G185" i="65" s="1"/>
  <c r="H185" i="65" s="1"/>
  <c r="I185" i="65" s="1"/>
  <c r="O169" i="65"/>
  <c r="N169" i="65"/>
  <c r="M169" i="65"/>
  <c r="L169" i="65"/>
  <c r="K169" i="65"/>
  <c r="J169" i="65"/>
  <c r="I169" i="65"/>
  <c r="H169" i="65"/>
  <c r="G169" i="65"/>
  <c r="N184" i="65" s="1"/>
  <c r="O184" i="65" s="1"/>
  <c r="F169" i="65"/>
  <c r="J184" i="65" s="1"/>
  <c r="K184" i="65" s="1"/>
  <c r="L184" i="65" s="1"/>
  <c r="M184" i="65" s="1"/>
  <c r="E169" i="65"/>
  <c r="F184" i="65" s="1"/>
  <c r="D169" i="65"/>
  <c r="D184" i="65" s="1"/>
  <c r="E184" i="65" s="1"/>
  <c r="O85" i="65"/>
  <c r="O178" i="65" s="1"/>
  <c r="N85" i="65"/>
  <c r="N178" i="65" s="1"/>
  <c r="M85" i="65"/>
  <c r="M178" i="65" s="1"/>
  <c r="L85" i="65"/>
  <c r="L178" i="65" s="1"/>
  <c r="K85" i="65"/>
  <c r="K178" i="65" s="1"/>
  <c r="J85" i="65"/>
  <c r="J178" i="65" s="1"/>
  <c r="I85" i="65"/>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L74" i="65"/>
  <c r="L172" i="65" s="1"/>
  <c r="K74" i="65"/>
  <c r="K172" i="65" s="1"/>
  <c r="J74" i="65"/>
  <c r="J172" i="65" s="1"/>
  <c r="I74" i="65"/>
  <c r="I172" i="65" s="1"/>
  <c r="H74" i="65"/>
  <c r="H172" i="65" s="1"/>
  <c r="G74" i="65"/>
  <c r="G172" i="65" s="1"/>
  <c r="N187" i="65" s="1"/>
  <c r="O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N175" i="65" s="1"/>
  <c r="M72" i="65"/>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D72" i="65"/>
  <c r="D175" i="65" s="1"/>
  <c r="D190" i="65" s="1"/>
  <c r="E190" i="65" s="1"/>
  <c r="O71" i="65"/>
  <c r="O174" i="65" s="1"/>
  <c r="N71" i="65"/>
  <c r="N174" i="65" s="1"/>
  <c r="M71" i="65"/>
  <c r="M174" i="65" s="1"/>
  <c r="L71" i="65"/>
  <c r="L174" i="65" s="1"/>
  <c r="K71" i="65"/>
  <c r="K174" i="65" s="1"/>
  <c r="J71" i="65"/>
  <c r="J174" i="65" s="1"/>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D70" i="65"/>
  <c r="D170" i="65" s="1"/>
  <c r="D185" i="65" s="1"/>
  <c r="E185" i="65" s="1"/>
  <c r="O69" i="65"/>
  <c r="O171" i="65" s="1"/>
  <c r="N69" i="65"/>
  <c r="N171" i="65" s="1"/>
  <c r="M69" i="65"/>
  <c r="M171" i="65" s="1"/>
  <c r="L69" i="65"/>
  <c r="L171" i="65" s="1"/>
  <c r="K69" i="65"/>
  <c r="K171" i="65" s="1"/>
  <c r="J69" i="65"/>
  <c r="J171" i="65" s="1"/>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B40" i="70"/>
  <c r="AB41" i="70" s="1"/>
  <c r="AB42" i="70" s="1"/>
  <c r="AB20" i="70" s="1"/>
  <c r="AB27" i="70" s="1"/>
  <c r="AA40" i="70"/>
  <c r="AA41" i="70" s="1"/>
  <c r="Z40" i="70"/>
  <c r="Y40" i="70"/>
  <c r="Y41" i="70" s="1"/>
  <c r="X40" i="70"/>
  <c r="X41" i="70" s="1"/>
  <c r="W40" i="70"/>
  <c r="V40" i="70"/>
  <c r="V41" i="70" s="1"/>
  <c r="U40" i="70"/>
  <c r="U41"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Z39" i="70"/>
  <c r="Y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F38" i="70"/>
  <c r="AE38" i="70"/>
  <c r="AD38" i="70"/>
  <c r="AC38" i="70"/>
  <c r="AB38" i="70"/>
  <c r="AA38" i="70"/>
  <c r="Z38" i="70"/>
  <c r="Y38" i="70"/>
  <c r="Y12" i="70" s="1"/>
  <c r="Y23" i="70" s="1"/>
  <c r="X38" i="70"/>
  <c r="W38" i="70"/>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M24" i="70"/>
  <c r="E24" i="70"/>
  <c r="Z23" i="70"/>
  <c r="R23"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AB16" i="70"/>
  <c r="AB25" i="70" s="1"/>
  <c r="AA16" i="70"/>
  <c r="AA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Z14" i="70"/>
  <c r="Z24" i="70" s="1"/>
  <c r="Y14" i="70"/>
  <c r="Y24" i="70" s="1"/>
  <c r="X14" i="70"/>
  <c r="X24" i="70" s="1"/>
  <c r="W14" i="70"/>
  <c r="W24" i="70" s="1"/>
  <c r="V14" i="70"/>
  <c r="V24" i="70" s="1"/>
  <c r="U14" i="70"/>
  <c r="S14" i="70"/>
  <c r="S24" i="70" s="1"/>
  <c r="R14" i="70"/>
  <c r="R24" i="70" s="1"/>
  <c r="Q14" i="70"/>
  <c r="Q24" i="70" s="1"/>
  <c r="P14" i="70"/>
  <c r="P24" i="70" s="1"/>
  <c r="O14" i="70"/>
  <c r="O24" i="70" s="1"/>
  <c r="N14" i="70"/>
  <c r="N24" i="70" s="1"/>
  <c r="M14" i="70"/>
  <c r="K14" i="70"/>
  <c r="K24" i="70" s="1"/>
  <c r="J14" i="70"/>
  <c r="J24" i="70" s="1"/>
  <c r="I14" i="70"/>
  <c r="I24" i="70" s="1"/>
  <c r="H14" i="70"/>
  <c r="H24" i="70" s="1"/>
  <c r="G14" i="70"/>
  <c r="G24" i="70" s="1"/>
  <c r="F14" i="70"/>
  <c r="F24" i="70" s="1"/>
  <c r="E14" i="70"/>
  <c r="AF12" i="70"/>
  <c r="AF23" i="70" s="1"/>
  <c r="AE12" i="70"/>
  <c r="AE23" i="70" s="1"/>
  <c r="AD12" i="70"/>
  <c r="AD23" i="70" s="1"/>
  <c r="AC12" i="70"/>
  <c r="AC23" i="70" s="1"/>
  <c r="AB12" i="70"/>
  <c r="AB23" i="70" s="1"/>
  <c r="AA12" i="70"/>
  <c r="AA23" i="70" s="1"/>
  <c r="Z12" i="70"/>
  <c r="X12" i="70"/>
  <c r="X23" i="70" s="1"/>
  <c r="W12" i="70"/>
  <c r="W23" i="70" s="1"/>
  <c r="V12" i="70"/>
  <c r="V23" i="70" s="1"/>
  <c r="U12" i="70"/>
  <c r="U23" i="70" s="1"/>
  <c r="T12" i="70"/>
  <c r="T23" i="70" s="1"/>
  <c r="S12" i="70"/>
  <c r="S23" i="70" s="1"/>
  <c r="R12" i="70"/>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T9" i="29"/>
  <c r="T10" i="29" s="1"/>
  <c r="S9" i="29"/>
  <c r="S10" i="29" s="1"/>
  <c r="R9" i="29"/>
  <c r="R10" i="29" s="1"/>
  <c r="Q9" i="29"/>
  <c r="Q10" i="29" s="1"/>
  <c r="P9" i="29"/>
  <c r="P10" i="29" s="1"/>
  <c r="P16" i="59" s="1"/>
  <c r="O9" i="29"/>
  <c r="O10" i="29" s="1"/>
  <c r="N9" i="29"/>
  <c r="N10" i="29" s="1"/>
  <c r="M9" i="29"/>
  <c r="L9" i="29"/>
  <c r="L11" i="29" s="1"/>
  <c r="K9" i="29"/>
  <c r="K11" i="29" s="1"/>
  <c r="J9" i="29"/>
  <c r="J11" i="29" s="1"/>
  <c r="M14" i="40"/>
  <c r="T13" i="40"/>
  <c r="S13" i="40"/>
  <c r="R13" i="40"/>
  <c r="R14" i="40" s="1"/>
  <c r="Q13" i="40"/>
  <c r="P13" i="40"/>
  <c r="O13" i="40"/>
  <c r="N13" i="40"/>
  <c r="M13" i="40"/>
  <c r="M17" i="40" s="1"/>
  <c r="L13" i="40"/>
  <c r="K13" i="40"/>
  <c r="J13" i="40"/>
  <c r="J14" i="40" s="1"/>
  <c r="T12" i="40"/>
  <c r="S12" i="40"/>
  <c r="R12" i="40"/>
  <c r="R16" i="40" s="1"/>
  <c r="Q12" i="40"/>
  <c r="P12" i="40"/>
  <c r="O12" i="40"/>
  <c r="N12" i="40"/>
  <c r="M12" i="40"/>
  <c r="M16" i="40" s="1"/>
  <c r="L12" i="40"/>
  <c r="K12" i="40"/>
  <c r="J12" i="40"/>
  <c r="J16" i="40" s="1"/>
  <c r="T11" i="40"/>
  <c r="S11" i="40"/>
  <c r="R11" i="40"/>
  <c r="R15" i="40" s="1"/>
  <c r="Q11" i="40"/>
  <c r="P11" i="40"/>
  <c r="O11" i="40"/>
  <c r="N11" i="40"/>
  <c r="M11" i="40"/>
  <c r="M15" i="40" s="1"/>
  <c r="L11" i="40"/>
  <c r="K11" i="40"/>
  <c r="J11" i="40"/>
  <c r="J15" i="40" s="1"/>
  <c r="L65" i="38"/>
  <c r="L70" i="38" s="1"/>
  <c r="L64" i="38"/>
  <c r="L67" i="38" s="1"/>
  <c r="P55" i="38"/>
  <c r="P54" i="38"/>
  <c r="O54" i="38"/>
  <c r="O55" i="38" s="1"/>
  <c r="K67" i="38" s="1"/>
  <c r="N54" i="38"/>
  <c r="M54" i="38"/>
  <c r="M55" i="38" s="1"/>
  <c r="L54" i="38"/>
  <c r="K54" i="38"/>
  <c r="K55" i="38" s="1"/>
  <c r="M48" i="38" s="1"/>
  <c r="J54" i="38"/>
  <c r="J55" i="38" s="1"/>
  <c r="P53" i="38"/>
  <c r="P56" i="38" s="1"/>
  <c r="O53" i="38"/>
  <c r="N53" i="38"/>
  <c r="M53" i="38"/>
  <c r="L53" i="38"/>
  <c r="L55" i="38" s="1"/>
  <c r="N48" i="38" s="1"/>
  <c r="K53" i="38"/>
  <c r="J53" i="38"/>
  <c r="J56" i="38" s="1"/>
  <c r="Q45" i="38"/>
  <c r="J45" i="38"/>
  <c r="Q44" i="38"/>
  <c r="J44" i="38"/>
  <c r="J43" i="38"/>
  <c r="Q42" i="38"/>
  <c r="J42" i="38"/>
  <c r="J41" i="38"/>
  <c r="Q41" i="38" s="1"/>
  <c r="T40" i="38"/>
  <c r="J40" i="38"/>
  <c r="T39" i="38"/>
  <c r="Q39" i="38"/>
  <c r="R39" i="38" s="1"/>
  <c r="P39" i="38"/>
  <c r="J39" i="38"/>
  <c r="T38" i="38"/>
  <c r="S38" i="38"/>
  <c r="S39" i="38" s="1"/>
  <c r="S40" i="38" s="1"/>
  <c r="S41" i="38" s="1"/>
  <c r="S42" i="38" s="1"/>
  <c r="S43" i="38" s="1"/>
  <c r="S44" i="38" s="1"/>
  <c r="S45" i="38" s="1"/>
  <c r="J38" i="38"/>
  <c r="J37" i="38"/>
  <c r="Q37" i="38" s="1"/>
  <c r="P36" i="38"/>
  <c r="J36" i="38"/>
  <c r="J35" i="38"/>
  <c r="P34" i="38"/>
  <c r="J34" i="38"/>
  <c r="J33" i="38"/>
  <c r="P33" i="38" s="1"/>
  <c r="P32" i="38"/>
  <c r="J32" i="38"/>
  <c r="J31" i="38"/>
  <c r="T30" i="38"/>
  <c r="T31" i="38" s="1"/>
  <c r="T32" i="38" s="1"/>
  <c r="T33" i="38" s="1"/>
  <c r="T34" i="38" s="1"/>
  <c r="T35" i="38" s="1"/>
  <c r="T36" i="38" s="1"/>
  <c r="P30" i="38"/>
  <c r="J30" i="38"/>
  <c r="T29" i="38"/>
  <c r="S29" i="38"/>
  <c r="J29" i="38"/>
  <c r="P29" i="38" s="1"/>
  <c r="T28" i="38"/>
  <c r="S28" i="38"/>
  <c r="P28" i="38"/>
  <c r="O28" i="38"/>
  <c r="J28" i="38"/>
  <c r="P27" i="38"/>
  <c r="J27" i="38"/>
  <c r="N26" i="38"/>
  <c r="J26" i="38"/>
  <c r="J25" i="38"/>
  <c r="S24" i="38"/>
  <c r="J24" i="38"/>
  <c r="N24" i="38" s="1"/>
  <c r="S23" i="38"/>
  <c r="N23" i="38"/>
  <c r="M23" i="38"/>
  <c r="J23" i="38"/>
  <c r="M22" i="38"/>
  <c r="J22" i="38"/>
  <c r="N22" i="38" s="1"/>
  <c r="J21" i="38"/>
  <c r="J20" i="38"/>
  <c r="M20" i="38" s="1"/>
  <c r="M19" i="38"/>
  <c r="J19" i="38"/>
  <c r="J18" i="38"/>
  <c r="M18" i="38" s="1"/>
  <c r="S17" i="38"/>
  <c r="J17" i="38"/>
  <c r="M17" i="38" s="1"/>
  <c r="J16" i="38"/>
  <c r="S15" i="38"/>
  <c r="S16" i="38" s="1"/>
  <c r="L16" i="38" s="1"/>
  <c r="M15" i="38"/>
  <c r="J15" i="38"/>
  <c r="S14" i="38"/>
  <c r="N14" i="38"/>
  <c r="M14" i="38"/>
  <c r="L14" i="38"/>
  <c r="J14" i="38"/>
  <c r="J13" i="38"/>
  <c r="M13" i="38" s="1"/>
  <c r="M12" i="38"/>
  <c r="N12" i="38" s="1"/>
  <c r="L12" i="38"/>
  <c r="J12" i="38"/>
  <c r="J11" i="38"/>
  <c r="M11" i="38" s="1"/>
  <c r="AC165" i="48"/>
  <c r="AB165" i="48"/>
  <c r="AA165" i="48"/>
  <c r="Z165" i="48"/>
  <c r="Y165" i="48"/>
  <c r="X165" i="48"/>
  <c r="W165" i="48"/>
  <c r="V165" i="48"/>
  <c r="U165" i="48"/>
  <c r="T165" i="48"/>
  <c r="T153" i="48" s="1"/>
  <c r="U153" i="48" s="1"/>
  <c r="V153" i="48" s="1"/>
  <c r="S165" i="48"/>
  <c r="R165" i="48"/>
  <c r="Q165" i="48"/>
  <c r="P165" i="48"/>
  <c r="O165" i="48"/>
  <c r="N165" i="48"/>
  <c r="AC163" i="48"/>
  <c r="AB163" i="48"/>
  <c r="AA163" i="48"/>
  <c r="Z163" i="48"/>
  <c r="Y163" i="48"/>
  <c r="X163" i="48"/>
  <c r="W163" i="48"/>
  <c r="V163" i="48"/>
  <c r="U163" i="48"/>
  <c r="T163" i="48"/>
  <c r="T151" i="48" s="1"/>
  <c r="U151" i="48" s="1"/>
  <c r="V151" i="48" s="1"/>
  <c r="S163" i="48"/>
  <c r="R163" i="48"/>
  <c r="Q163" i="48"/>
  <c r="P163" i="48"/>
  <c r="O163" i="48"/>
  <c r="N163" i="48"/>
  <c r="AC161" i="48"/>
  <c r="AB161" i="48"/>
  <c r="AA161" i="48"/>
  <c r="Z161" i="48"/>
  <c r="Y161" i="48"/>
  <c r="X161" i="48"/>
  <c r="W161" i="48"/>
  <c r="V161" i="48"/>
  <c r="U161" i="48"/>
  <c r="T161" i="48"/>
  <c r="T149" i="48" s="1"/>
  <c r="U149" i="48" s="1"/>
  <c r="V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U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T121" i="48"/>
  <c r="S121" i="48"/>
  <c r="R121" i="48"/>
  <c r="Q121" i="48"/>
  <c r="Q139" i="48" s="1"/>
  <c r="P121" i="48"/>
  <c r="O121" i="48"/>
  <c r="N121" i="48"/>
  <c r="M121" i="48"/>
  <c r="M139" i="48" s="1"/>
  <c r="L121" i="48"/>
  <c r="K121" i="48"/>
  <c r="J121" i="48"/>
  <c r="I121" i="48"/>
  <c r="H121" i="48"/>
  <c r="G121" i="48"/>
  <c r="F121" i="48"/>
  <c r="T120" i="48"/>
  <c r="S120" i="48"/>
  <c r="R120" i="48"/>
  <c r="Q120" i="48"/>
  <c r="P120" i="48"/>
  <c r="O120" i="48"/>
  <c r="N120" i="48"/>
  <c r="M120" i="48"/>
  <c r="M138" i="48" s="1"/>
  <c r="L120" i="48"/>
  <c r="L138" i="48" s="1"/>
  <c r="K120" i="48"/>
  <c r="K138" i="48" s="1"/>
  <c r="J120" i="48"/>
  <c r="I120" i="48"/>
  <c r="H120" i="48"/>
  <c r="G120" i="48"/>
  <c r="F120" i="48"/>
  <c r="T118" i="48"/>
  <c r="S118" i="48"/>
  <c r="R118" i="48"/>
  <c r="Q118" i="48"/>
  <c r="P118" i="48"/>
  <c r="O118" i="48"/>
  <c r="O136" i="48" s="1"/>
  <c r="N118" i="48"/>
  <c r="M118" i="48"/>
  <c r="L118" i="48"/>
  <c r="K118" i="48"/>
  <c r="J118" i="48"/>
  <c r="I118" i="48"/>
  <c r="H118" i="48"/>
  <c r="G118" i="48"/>
  <c r="F118" i="48"/>
  <c r="T117" i="48"/>
  <c r="S117" i="48"/>
  <c r="R117" i="48"/>
  <c r="Q117" i="48"/>
  <c r="Q135" i="48" s="1"/>
  <c r="P117" i="48"/>
  <c r="O117" i="48"/>
  <c r="N117" i="48"/>
  <c r="M117" i="48"/>
  <c r="L117" i="48"/>
  <c r="K117" i="48"/>
  <c r="K135" i="48" s="1"/>
  <c r="J117" i="48"/>
  <c r="I117" i="48"/>
  <c r="I135" i="48" s="1"/>
  <c r="H117" i="48"/>
  <c r="G117" i="48"/>
  <c r="F117" i="48"/>
  <c r="T116" i="48"/>
  <c r="S116" i="48"/>
  <c r="R116" i="48"/>
  <c r="R134" i="48" s="1"/>
  <c r="Q116" i="48"/>
  <c r="P116" i="48"/>
  <c r="P134" i="48" s="1"/>
  <c r="O116" i="48"/>
  <c r="N116" i="48"/>
  <c r="M116" i="48"/>
  <c r="L116" i="48"/>
  <c r="K116" i="48"/>
  <c r="J116" i="48"/>
  <c r="J134" i="48" s="1"/>
  <c r="I116" i="48"/>
  <c r="H116" i="48"/>
  <c r="G116" i="48"/>
  <c r="F116" i="48"/>
  <c r="T115" i="48"/>
  <c r="T119" i="48" s="1"/>
  <c r="S115" i="48"/>
  <c r="R115" i="48"/>
  <c r="Q115" i="48"/>
  <c r="Q133" i="48" s="1"/>
  <c r="P115" i="48"/>
  <c r="O115" i="48"/>
  <c r="N115" i="48"/>
  <c r="N119" i="48" s="1"/>
  <c r="M115" i="48"/>
  <c r="M119" i="48" s="1"/>
  <c r="L115" i="48"/>
  <c r="K115" i="48"/>
  <c r="J115" i="48"/>
  <c r="I115" i="48"/>
  <c r="I133" i="48" s="1"/>
  <c r="H115" i="48"/>
  <c r="G115" i="48"/>
  <c r="F115" i="48"/>
  <c r="F119" i="48" s="1"/>
  <c r="AC96" i="48"/>
  <c r="AB96" i="48"/>
  <c r="AA96" i="48"/>
  <c r="Z96" i="48"/>
  <c r="Y96" i="48"/>
  <c r="Y157" i="48" s="1"/>
  <c r="X96" i="48"/>
  <c r="W96" i="48"/>
  <c r="W157" i="48" s="1"/>
  <c r="V96" i="48"/>
  <c r="U96" i="48"/>
  <c r="T96" i="48"/>
  <c r="S96" i="48"/>
  <c r="R96" i="48"/>
  <c r="Q96" i="48"/>
  <c r="Q157" i="48" s="1"/>
  <c r="P96" i="48"/>
  <c r="O96" i="48"/>
  <c r="O157" i="48" s="1"/>
  <c r="N96" i="48"/>
  <c r="M96" i="48"/>
  <c r="L96" i="48"/>
  <c r="K96" i="48"/>
  <c r="J96" i="48"/>
  <c r="I96" i="48"/>
  <c r="I157" i="48" s="1"/>
  <c r="H96" i="48"/>
  <c r="G96" i="48"/>
  <c r="G157" i="48" s="1"/>
  <c r="F96" i="48"/>
  <c r="L83" i="48"/>
  <c r="K83" i="48"/>
  <c r="J83" i="48"/>
  <c r="I83" i="48"/>
  <c r="H83" i="48"/>
  <c r="G83" i="48"/>
  <c r="F83" i="48"/>
  <c r="E83" i="48"/>
  <c r="L81" i="48"/>
  <c r="K81" i="48"/>
  <c r="J81" i="48"/>
  <c r="I81" i="48"/>
  <c r="H81" i="48"/>
  <c r="G81" i="48"/>
  <c r="F81" i="48"/>
  <c r="E81" i="48"/>
  <c r="L80" i="48"/>
  <c r="K80" i="48"/>
  <c r="J80" i="48"/>
  <c r="I80" i="48"/>
  <c r="H80" i="48"/>
  <c r="G80" i="48"/>
  <c r="F80" i="48"/>
  <c r="E80" i="48"/>
  <c r="F68" i="48"/>
  <c r="E68" i="48"/>
  <c r="F66" i="48"/>
  <c r="E66" i="48"/>
  <c r="F65" i="48"/>
  <c r="E65" i="48"/>
  <c r="L52" i="48"/>
  <c r="L82" i="48" s="1"/>
  <c r="K52" i="48"/>
  <c r="K82" i="48" s="1"/>
  <c r="J52" i="48"/>
  <c r="J82" i="48" s="1"/>
  <c r="I52" i="48"/>
  <c r="I82" i="48" s="1"/>
  <c r="H52" i="48"/>
  <c r="H82" i="48" s="1"/>
  <c r="G52" i="48"/>
  <c r="G82" i="48" s="1"/>
  <c r="F52" i="48"/>
  <c r="F82" i="48" s="1"/>
  <c r="E52" i="48"/>
  <c r="S27" i="48"/>
  <c r="S126" i="48" s="1"/>
  <c r="T126" i="48" s="1"/>
  <c r="R27" i="48"/>
  <c r="Q27" i="48"/>
  <c r="Q126" i="48" s="1"/>
  <c r="P27" i="48"/>
  <c r="P126" i="48" s="1"/>
  <c r="O27" i="48"/>
  <c r="O126" i="48" s="1"/>
  <c r="N27" i="48"/>
  <c r="M27" i="48"/>
  <c r="M126" i="48" s="1"/>
  <c r="L27" i="48"/>
  <c r="L126" i="48" s="1"/>
  <c r="K27" i="48"/>
  <c r="K126" i="48" s="1"/>
  <c r="J27" i="48"/>
  <c r="I27" i="48"/>
  <c r="I126" i="48" s="1"/>
  <c r="H27" i="48"/>
  <c r="H126" i="48" s="1"/>
  <c r="G27" i="48"/>
  <c r="G126" i="48" s="1"/>
  <c r="F27" i="48"/>
  <c r="T26" i="48"/>
  <c r="T125" i="48" s="1"/>
  <c r="U125" i="48" s="1"/>
  <c r="V125" i="48" s="1"/>
  <c r="W125" i="48" s="1"/>
  <c r="X125" i="48" s="1"/>
  <c r="Y125" i="48" s="1"/>
  <c r="S26" i="48"/>
  <c r="S125" i="48" s="1"/>
  <c r="R26" i="48"/>
  <c r="R125" i="48" s="1"/>
  <c r="Q26" i="48"/>
  <c r="P26" i="48"/>
  <c r="P125" i="48" s="1"/>
  <c r="O26" i="48"/>
  <c r="O125" i="48" s="1"/>
  <c r="N26" i="48"/>
  <c r="N125" i="48" s="1"/>
  <c r="M26" i="48"/>
  <c r="L26" i="48"/>
  <c r="L125" i="48" s="1"/>
  <c r="K26" i="48"/>
  <c r="K125" i="48" s="1"/>
  <c r="J26" i="48"/>
  <c r="J125" i="48" s="1"/>
  <c r="I26" i="48"/>
  <c r="H26" i="48"/>
  <c r="H125" i="48" s="1"/>
  <c r="G26" i="48"/>
  <c r="G125" i="48" s="1"/>
  <c r="F26" i="48"/>
  <c r="F125" i="48" s="1"/>
  <c r="T25" i="48"/>
  <c r="T124" i="48" s="1"/>
  <c r="U124" i="48" s="1"/>
  <c r="V124" i="48" s="1"/>
  <c r="W124" i="48" s="1"/>
  <c r="X124" i="48" s="1"/>
  <c r="Y124" i="48" s="1"/>
  <c r="S25" i="48"/>
  <c r="S22" i="48" s="1"/>
  <c r="R25" i="48"/>
  <c r="Q25" i="48"/>
  <c r="P25" i="48"/>
  <c r="O25" i="48"/>
  <c r="O22" i="48" s="1"/>
  <c r="N25" i="48"/>
  <c r="M25" i="48"/>
  <c r="L25" i="48"/>
  <c r="K25" i="48"/>
  <c r="K22" i="48" s="1"/>
  <c r="J25" i="48"/>
  <c r="I25" i="48"/>
  <c r="H25" i="48"/>
  <c r="G25" i="48"/>
  <c r="G22" i="48" s="1"/>
  <c r="F25" i="48"/>
  <c r="T24" i="48"/>
  <c r="S24" i="48"/>
  <c r="R24" i="48"/>
  <c r="R22" i="48" s="1"/>
  <c r="Q24" i="48"/>
  <c r="P24" i="48"/>
  <c r="O24" i="48"/>
  <c r="N24" i="48"/>
  <c r="N22" i="48" s="1"/>
  <c r="M24" i="48"/>
  <c r="L24" i="48"/>
  <c r="K24" i="48"/>
  <c r="J24" i="48"/>
  <c r="J22" i="48" s="1"/>
  <c r="I24" i="48"/>
  <c r="H24" i="48"/>
  <c r="G24" i="48"/>
  <c r="F24" i="48"/>
  <c r="F22" i="48" s="1"/>
  <c r="M22" i="48"/>
  <c r="S18" i="48"/>
  <c r="S111" i="48" s="1"/>
  <c r="T111" i="48" s="1"/>
  <c r="U111" i="48" s="1"/>
  <c r="V111" i="48" s="1"/>
  <c r="W111" i="48" s="1"/>
  <c r="X111" i="48" s="1"/>
  <c r="Y111" i="48" s="1"/>
  <c r="Z111" i="48" s="1"/>
  <c r="AA111" i="48" s="1"/>
  <c r="AB111" i="48" s="1"/>
  <c r="AC111" i="48" s="1"/>
  <c r="R18" i="48"/>
  <c r="Q18" i="48"/>
  <c r="Q111" i="48" s="1"/>
  <c r="P18" i="48"/>
  <c r="O18" i="48"/>
  <c r="O111" i="48" s="1"/>
  <c r="N18" i="48"/>
  <c r="M18" i="48"/>
  <c r="M111" i="48" s="1"/>
  <c r="H91" i="48" s="1"/>
  <c r="L18" i="48"/>
  <c r="K18" i="48"/>
  <c r="K111" i="48" s="1"/>
  <c r="J18" i="48"/>
  <c r="I18" i="48"/>
  <c r="I111" i="48" s="1"/>
  <c r="H18" i="48"/>
  <c r="G18" i="48"/>
  <c r="F18" i="48"/>
  <c r="T15" i="48"/>
  <c r="T110" i="48" s="1"/>
  <c r="U110" i="48" s="1"/>
  <c r="V110" i="48" s="1"/>
  <c r="W110" i="48" s="1"/>
  <c r="X110" i="48" s="1"/>
  <c r="Y110" i="48" s="1"/>
  <c r="Z110" i="48" s="1"/>
  <c r="AA110" i="48" s="1"/>
  <c r="AB110" i="48" s="1"/>
  <c r="AC110" i="48" s="1"/>
  <c r="S15" i="48"/>
  <c r="S110" i="48" s="1"/>
  <c r="R15" i="48"/>
  <c r="R110" i="48" s="1"/>
  <c r="Q15" i="48"/>
  <c r="P15" i="48"/>
  <c r="O15" i="48"/>
  <c r="O110" i="48" s="1"/>
  <c r="N15" i="48"/>
  <c r="N110" i="48" s="1"/>
  <c r="H90" i="48" s="1"/>
  <c r="M15" i="48"/>
  <c r="L15" i="48"/>
  <c r="K15" i="48"/>
  <c r="K110" i="48" s="1"/>
  <c r="J15" i="48"/>
  <c r="J110" i="48" s="1"/>
  <c r="I15" i="48"/>
  <c r="H15" i="48"/>
  <c r="G15" i="48"/>
  <c r="F15" i="48"/>
  <c r="T13" i="48"/>
  <c r="T109" i="48" s="1"/>
  <c r="U109" i="48" s="1"/>
  <c r="V109" i="48" s="1"/>
  <c r="W109" i="48" s="1"/>
  <c r="X109" i="48" s="1"/>
  <c r="Y109" i="48" s="1"/>
  <c r="Z109" i="48" s="1"/>
  <c r="AA109" i="48" s="1"/>
  <c r="AB109" i="48" s="1"/>
  <c r="AC109" i="48" s="1"/>
  <c r="S13" i="48"/>
  <c r="R13" i="48"/>
  <c r="Q13" i="48"/>
  <c r="P13" i="48"/>
  <c r="O13" i="48"/>
  <c r="N13" i="48"/>
  <c r="M13" i="48"/>
  <c r="M109" i="48" s="1"/>
  <c r="L13" i="48"/>
  <c r="K13" i="48"/>
  <c r="J13" i="48"/>
  <c r="I13" i="48"/>
  <c r="H13" i="48"/>
  <c r="G13" i="48"/>
  <c r="F13" i="48"/>
  <c r="T10" i="48"/>
  <c r="T11" i="48" s="1"/>
  <c r="S10" i="48"/>
  <c r="S9" i="48" s="1"/>
  <c r="R10" i="48"/>
  <c r="R9" i="48" s="1"/>
  <c r="Q10" i="48"/>
  <c r="P10" i="48"/>
  <c r="I37" i="48" s="1"/>
  <c r="O10" i="48"/>
  <c r="N10" i="48"/>
  <c r="M10" i="48"/>
  <c r="L10" i="48"/>
  <c r="K10" i="48"/>
  <c r="K9" i="48" s="1"/>
  <c r="J10" i="48"/>
  <c r="I10" i="48"/>
  <c r="H10" i="48"/>
  <c r="G37" i="48" s="1"/>
  <c r="G10" i="48"/>
  <c r="G9" i="48" s="1"/>
  <c r="F10" i="48"/>
  <c r="M9" i="48"/>
  <c r="F71" i="59"/>
  <c r="G71" i="59" s="1"/>
  <c r="T60" i="59"/>
  <c r="S60" i="59"/>
  <c r="R60" i="59"/>
  <c r="Q60" i="59"/>
  <c r="P60" i="59"/>
  <c r="O60" i="59"/>
  <c r="N60" i="59"/>
  <c r="M60" i="59"/>
  <c r="L60" i="59"/>
  <c r="K60" i="59"/>
  <c r="J60" i="59"/>
  <c r="I60" i="59"/>
  <c r="H60" i="59"/>
  <c r="G60" i="59"/>
  <c r="F60" i="59"/>
  <c r="E60" i="59"/>
  <c r="D60" i="59"/>
  <c r="T53" i="59"/>
  <c r="S53" i="59"/>
  <c r="R53" i="59"/>
  <c r="Q53" i="59"/>
  <c r="P53" i="59"/>
  <c r="O53" i="59"/>
  <c r="N53" i="59"/>
  <c r="M53" i="59"/>
  <c r="L53" i="59"/>
  <c r="K53" i="59"/>
  <c r="J53" i="59"/>
  <c r="I53" i="59"/>
  <c r="H53" i="59"/>
  <c r="G53" i="59"/>
  <c r="F53" i="59"/>
  <c r="E53" i="59"/>
  <c r="D53" i="59"/>
  <c r="T43" i="59"/>
  <c r="S43" i="59"/>
  <c r="R43" i="59"/>
  <c r="Q43" i="59"/>
  <c r="P43" i="59"/>
  <c r="O43" i="59"/>
  <c r="N43" i="59"/>
  <c r="M43" i="59"/>
  <c r="L43" i="59"/>
  <c r="K43" i="59"/>
  <c r="J43" i="59"/>
  <c r="I43" i="59"/>
  <c r="H43" i="59"/>
  <c r="G43" i="59"/>
  <c r="F43" i="59"/>
  <c r="E43" i="59"/>
  <c r="D43"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E5" i="50" s="1"/>
  <c r="K19" i="59"/>
  <c r="K24" i="59" s="1"/>
  <c r="D5" i="50" s="1"/>
  <c r="J19" i="59"/>
  <c r="J24" i="59" s="1"/>
  <c r="I19" i="59"/>
  <c r="I24" i="59" s="1"/>
  <c r="H19" i="59"/>
  <c r="H24" i="59" s="1"/>
  <c r="G19" i="59"/>
  <c r="G24" i="59" s="1"/>
  <c r="F19" i="59"/>
  <c r="F24" i="59" s="1"/>
  <c r="E19" i="59"/>
  <c r="E24" i="59" s="1"/>
  <c r="D19" i="59"/>
  <c r="D24" i="59" s="1"/>
  <c r="M17" i="59"/>
  <c r="F4" i="50" s="1"/>
  <c r="AC16" i="59"/>
  <c r="AB16" i="59"/>
  <c r="AA16" i="59"/>
  <c r="Z16" i="59"/>
  <c r="Y16" i="59"/>
  <c r="X16" i="59"/>
  <c r="W16" i="59"/>
  <c r="V16" i="59"/>
  <c r="U16" i="59"/>
  <c r="T16" i="59"/>
  <c r="S16" i="59"/>
  <c r="R16" i="59"/>
  <c r="Q16" i="59"/>
  <c r="O16" i="59"/>
  <c r="N16" i="59"/>
  <c r="L16" i="59"/>
  <c r="K16" i="59"/>
  <c r="J16" i="59"/>
  <c r="I16" i="59"/>
  <c r="H16" i="59"/>
  <c r="T15" i="59"/>
  <c r="S15" i="59"/>
  <c r="L15" i="59"/>
  <c r="K15" i="59"/>
  <c r="D15"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C22" i="33"/>
  <c r="I21" i="33"/>
  <c r="J23" i="33" s="1"/>
  <c r="H21" i="33"/>
  <c r="G21" i="33"/>
  <c r="F21" i="33"/>
  <c r="G23" i="33" s="1"/>
  <c r="E21" i="33"/>
  <c r="J20" i="33"/>
  <c r="AC12" i="33"/>
  <c r="AB12" i="33"/>
  <c r="AA12" i="33"/>
  <c r="Z12" i="33"/>
  <c r="Y12" i="33"/>
  <c r="X12" i="33"/>
  <c r="O12" i="33"/>
  <c r="N12" i="33"/>
  <c r="V11" i="33"/>
  <c r="W11" i="33" s="1"/>
  <c r="X11" i="33" s="1"/>
  <c r="Y11" i="33" s="1"/>
  <c r="Z11" i="33" s="1"/>
  <c r="T11" i="33"/>
  <c r="U11" i="33" s="1"/>
  <c r="S11" i="33"/>
  <c r="R11" i="33"/>
  <c r="Q11" i="33"/>
  <c r="P11" i="33"/>
  <c r="O11" i="33"/>
  <c r="N11" i="33"/>
  <c r="M11" i="33"/>
  <c r="L11" i="33"/>
  <c r="K11" i="33"/>
  <c r="J11" i="33"/>
  <c r="T10" i="33"/>
  <c r="S10" i="33"/>
  <c r="R10" i="33"/>
  <c r="R15" i="59" s="1"/>
  <c r="Q10" i="33"/>
  <c r="Q15" i="59" s="1"/>
  <c r="P10" i="33"/>
  <c r="P15" i="59" s="1"/>
  <c r="O10" i="33"/>
  <c r="O15" i="59" s="1"/>
  <c r="N10" i="33"/>
  <c r="N15" i="59" s="1"/>
  <c r="M10" i="33"/>
  <c r="M15" i="59" s="1"/>
  <c r="L10" i="33"/>
  <c r="K10" i="33"/>
  <c r="J10" i="33"/>
  <c r="I10" i="33"/>
  <c r="I15" i="59" s="1"/>
  <c r="H10" i="33"/>
  <c r="H15" i="59" s="1"/>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N26" i="49"/>
  <c r="M26" i="49"/>
  <c r="T11" i="49"/>
  <c r="T12" i="49" s="1"/>
  <c r="U12" i="49" s="1"/>
  <c r="W12" i="49" s="1"/>
  <c r="S11" i="49"/>
  <c r="R11" i="49"/>
  <c r="R12" i="49" s="1"/>
  <c r="Q11" i="49"/>
  <c r="Q12" i="49" s="1"/>
  <c r="P11" i="49"/>
  <c r="O11" i="49"/>
  <c r="N11" i="49"/>
  <c r="M11" i="49"/>
  <c r="L11" i="49"/>
  <c r="L12" i="49" s="1"/>
  <c r="K11" i="49"/>
  <c r="J11" i="49"/>
  <c r="J12" i="49" s="1"/>
  <c r="I11" i="49"/>
  <c r="I12" i="49" s="1"/>
  <c r="H11" i="49"/>
  <c r="G11" i="49"/>
  <c r="F11" i="49"/>
  <c r="E11" i="49"/>
  <c r="D11" i="49"/>
  <c r="D12" i="49" s="1"/>
  <c r="D28" i="49" s="1"/>
  <c r="T10" i="49"/>
  <c r="T26" i="49" s="1"/>
  <c r="T28" i="49" s="1"/>
  <c r="C10" i="35" s="1"/>
  <c r="D12" i="55" s="1"/>
  <c r="D62" i="55" s="1"/>
  <c r="S10" i="49"/>
  <c r="S26" i="49" s="1"/>
  <c r="R10" i="49"/>
  <c r="R26" i="49" s="1"/>
  <c r="Q10" i="49"/>
  <c r="P10" i="49"/>
  <c r="O10" i="49"/>
  <c r="N10" i="49"/>
  <c r="M10" i="49"/>
  <c r="L10" i="49"/>
  <c r="L26" i="49" s="1"/>
  <c r="K10" i="49"/>
  <c r="K26" i="49" s="1"/>
  <c r="J10" i="49"/>
  <c r="I10" i="49"/>
  <c r="H10" i="49"/>
  <c r="G10" i="49"/>
  <c r="F10" i="49"/>
  <c r="E10" i="49"/>
  <c r="E26" i="49" s="1"/>
  <c r="D10" i="49"/>
  <c r="D26" i="49" s="1"/>
  <c r="H46" i="30"/>
  <c r="G46" i="30"/>
  <c r="F46"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Y20" i="30" s="1"/>
  <c r="AC36" i="30"/>
  <c r="AB36" i="30"/>
  <c r="AA36" i="30"/>
  <c r="Z36" i="30"/>
  <c r="Y36" i="30"/>
  <c r="X36" i="30"/>
  <c r="O34" i="30"/>
  <c r="O25" i="30" s="1"/>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T21" i="30"/>
  <c r="U21" i="30" s="1"/>
  <c r="S21" i="30"/>
  <c r="R21" i="30"/>
  <c r="Q21" i="30"/>
  <c r="P21" i="30"/>
  <c r="O21" i="30"/>
  <c r="N21" i="30"/>
  <c r="M21" i="30"/>
  <c r="L21" i="30"/>
  <c r="K21" i="30"/>
  <c r="J21" i="30"/>
  <c r="I21" i="30"/>
  <c r="H21" i="30"/>
  <c r="AC20" i="30"/>
  <c r="AB20" i="30"/>
  <c r="AA20" i="30"/>
  <c r="T20" i="30"/>
  <c r="S20" i="30"/>
  <c r="R20" i="30"/>
  <c r="Q20" i="30"/>
  <c r="P20" i="30"/>
  <c r="O20" i="30"/>
  <c r="N20" i="30"/>
  <c r="N15" i="30" s="1"/>
  <c r="M20" i="30"/>
  <c r="L20" i="30"/>
  <c r="K20" i="30"/>
  <c r="J20" i="30"/>
  <c r="I20" i="30"/>
  <c r="H20" i="30"/>
  <c r="T19" i="30"/>
  <c r="S19" i="30"/>
  <c r="R19" i="30"/>
  <c r="Q19" i="30"/>
  <c r="P19" i="30"/>
  <c r="O19" i="30"/>
  <c r="N19" i="30"/>
  <c r="M19" i="30"/>
  <c r="L19" i="30"/>
  <c r="K19" i="30"/>
  <c r="K13" i="30" s="1"/>
  <c r="J19" i="30"/>
  <c r="I19" i="30"/>
  <c r="H19" i="30"/>
  <c r="AC18" i="30"/>
  <c r="AB18" i="30"/>
  <c r="AA18" i="30"/>
  <c r="Z18" i="30"/>
  <c r="Y18" i="30"/>
  <c r="X18" i="30"/>
  <c r="W18" i="30"/>
  <c r="V18" i="30"/>
  <c r="U18" i="30"/>
  <c r="T18" i="30"/>
  <c r="S18" i="30"/>
  <c r="R18" i="30"/>
  <c r="Q18" i="30"/>
  <c r="P18" i="30"/>
  <c r="O18" i="30"/>
  <c r="N18" i="30"/>
  <c r="M18" i="30"/>
  <c r="O30" i="30" s="1"/>
  <c r="L18" i="30"/>
  <c r="K18" i="30"/>
  <c r="J18" i="30"/>
  <c r="J13" i="30" s="1"/>
  <c r="I18" i="30"/>
  <c r="H18" i="30"/>
  <c r="W17" i="30"/>
  <c r="U17" i="30"/>
  <c r="V17" i="30" s="1"/>
  <c r="T17" i="30"/>
  <c r="S17" i="30"/>
  <c r="R17" i="30"/>
  <c r="Q17" i="30"/>
  <c r="P17" i="30"/>
  <c r="O17" i="30"/>
  <c r="N17" i="30"/>
  <c r="M17" i="30"/>
  <c r="L17" i="30"/>
  <c r="K17" i="30"/>
  <c r="J17" i="30"/>
  <c r="I17" i="30"/>
  <c r="H17" i="30"/>
  <c r="T16" i="30"/>
  <c r="S16" i="30"/>
  <c r="R16" i="30"/>
  <c r="Q16" i="30"/>
  <c r="P16" i="30"/>
  <c r="O16" i="30"/>
  <c r="N16" i="30"/>
  <c r="M16" i="30"/>
  <c r="M15" i="30" s="1"/>
  <c r="L16" i="30"/>
  <c r="K16" i="30"/>
  <c r="J16" i="30"/>
  <c r="I16" i="30"/>
  <c r="H16" i="30"/>
  <c r="K15" i="30"/>
  <c r="T14" i="30"/>
  <c r="S14" i="30"/>
  <c r="R14" i="30"/>
  <c r="Q14" i="30"/>
  <c r="P14" i="30"/>
  <c r="O14" i="30"/>
  <c r="N14" i="30"/>
  <c r="M14" i="30"/>
  <c r="L14" i="30"/>
  <c r="K14" i="30"/>
  <c r="J14" i="30"/>
  <c r="I14" i="30"/>
  <c r="H14" i="30"/>
  <c r="M13" i="30"/>
  <c r="G12" i="30"/>
  <c r="F12" i="30"/>
  <c r="T11" i="30"/>
  <c r="S11" i="30"/>
  <c r="R11" i="30"/>
  <c r="Q11" i="30"/>
  <c r="P11" i="30"/>
  <c r="O11" i="30"/>
  <c r="N11" i="30"/>
  <c r="M11" i="30"/>
  <c r="L11" i="30"/>
  <c r="L46" i="30" s="1"/>
  <c r="K11" i="30"/>
  <c r="K46" i="30" s="1"/>
  <c r="J11" i="30"/>
  <c r="J46" i="30" s="1"/>
  <c r="I11" i="30"/>
  <c r="H11" i="30"/>
  <c r="N47" i="20"/>
  <c r="K47" i="20"/>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T26" i="20"/>
  <c r="U26" i="20" s="1"/>
  <c r="R26" i="20"/>
  <c r="Q26" i="20"/>
  <c r="Q25" i="20" s="1"/>
  <c r="N26" i="20"/>
  <c r="N25" i="20" s="1"/>
  <c r="L26" i="20"/>
  <c r="J26" i="20"/>
  <c r="I26" i="20"/>
  <c r="AB25" i="20"/>
  <c r="AA25" i="20"/>
  <c r="Z25" i="20"/>
  <c r="Y25" i="20"/>
  <c r="X25" i="20"/>
  <c r="W25" i="20"/>
  <c r="V25" i="20"/>
  <c r="U25" i="20"/>
  <c r="T23" i="20"/>
  <c r="S23" i="20"/>
  <c r="S26" i="20" s="1"/>
  <c r="R23" i="20"/>
  <c r="Q23" i="20"/>
  <c r="P23" i="20"/>
  <c r="P26" i="20" s="1"/>
  <c r="O23" i="20"/>
  <c r="N23" i="20"/>
  <c r="M23" i="20"/>
  <c r="M26" i="20" s="1"/>
  <c r="M25" i="20" s="1"/>
  <c r="L23" i="20"/>
  <c r="K23" i="20"/>
  <c r="J23" i="20"/>
  <c r="I23" i="20"/>
  <c r="H23" i="20"/>
  <c r="H26" i="20" s="1"/>
  <c r="W11" i="20"/>
  <c r="U11" i="20"/>
  <c r="V11" i="20" s="1"/>
  <c r="T11" i="20"/>
  <c r="S11" i="20"/>
  <c r="R11" i="20"/>
  <c r="Q11" i="20"/>
  <c r="P11" i="20"/>
  <c r="O11" i="20"/>
  <c r="N11" i="20"/>
  <c r="M11" i="20"/>
  <c r="L11" i="20"/>
  <c r="K11" i="20"/>
  <c r="J11" i="20"/>
  <c r="I11" i="20"/>
  <c r="H11" i="20"/>
  <c r="AC100" i="26"/>
  <c r="AC99" i="26" s="1"/>
  <c r="AC47" i="20" s="1"/>
  <c r="AB100" i="26"/>
  <c r="AA100" i="26"/>
  <c r="Z100" i="26"/>
  <c r="Y100" i="26"/>
  <c r="Y99" i="26" s="1"/>
  <c r="Y47" i="20" s="1"/>
  <c r="X100" i="26"/>
  <c r="W100" i="26"/>
  <c r="W99" i="26" s="1"/>
  <c r="V100" i="26"/>
  <c r="U100" i="26"/>
  <c r="U99" i="26" s="1"/>
  <c r="U47" i="20" s="1"/>
  <c r="T100" i="26"/>
  <c r="S100" i="26"/>
  <c r="X99" i="26"/>
  <c r="X47" i="20" s="1"/>
  <c r="Q99" i="26"/>
  <c r="Q47" i="20" s="1"/>
  <c r="P99" i="26"/>
  <c r="P47" i="20" s="1"/>
  <c r="O99" i="26"/>
  <c r="O47" i="20" s="1"/>
  <c r="N99" i="26"/>
  <c r="M99" i="26"/>
  <c r="M47" i="20" s="1"/>
  <c r="L99" i="26"/>
  <c r="L47" i="20" s="1"/>
  <c r="K99" i="26"/>
  <c r="J99" i="26"/>
  <c r="J47" i="20" s="1"/>
  <c r="I99" i="26"/>
  <c r="I47" i="20" s="1"/>
  <c r="H99" i="26"/>
  <c r="AD88" i="26"/>
  <c r="O87" i="26"/>
  <c r="AC85" i="26"/>
  <c r="AB85" i="26"/>
  <c r="AA85" i="26"/>
  <c r="Z85" i="26"/>
  <c r="Y85" i="26"/>
  <c r="X85" i="26"/>
  <c r="S85" i="26"/>
  <c r="AC82" i="26"/>
  <c r="AB82" i="26"/>
  <c r="AA82" i="26"/>
  <c r="Z82" i="26"/>
  <c r="Y82" i="26"/>
  <c r="V81" i="26"/>
  <c r="N81" i="26"/>
  <c r="C73" i="26"/>
  <c r="C72" i="26"/>
  <c r="C55" i="26" s="1"/>
  <c r="C71" i="26"/>
  <c r="C52" i="26" s="1"/>
  <c r="C70" i="26"/>
  <c r="C69" i="26"/>
  <c r="C68" i="26"/>
  <c r="C67" i="26"/>
  <c r="C66" i="26"/>
  <c r="C65" i="26"/>
  <c r="C64" i="26"/>
  <c r="C63" i="26"/>
  <c r="C62" i="26" s="1"/>
  <c r="C58" i="26"/>
  <c r="C57" i="26"/>
  <c r="C54" i="26"/>
  <c r="E54" i="26" s="1"/>
  <c r="C51" i="26"/>
  <c r="C50" i="26"/>
  <c r="W41" i="26"/>
  <c r="Q40" i="26"/>
  <c r="N40" i="26"/>
  <c r="X38" i="26"/>
  <c r="W38" i="26"/>
  <c r="V38" i="26"/>
  <c r="V16" i="26" s="1"/>
  <c r="V83" i="26" s="1"/>
  <c r="U38" i="26"/>
  <c r="T38" i="26"/>
  <c r="S38" i="26"/>
  <c r="R38" i="26"/>
  <c r="Q38" i="26"/>
  <c r="P38" i="26"/>
  <c r="O38" i="26"/>
  <c r="N38" i="26"/>
  <c r="N16" i="26" s="1"/>
  <c r="N83" i="26" s="1"/>
  <c r="M38" i="26"/>
  <c r="X37" i="26"/>
  <c r="X16" i="26" s="1"/>
  <c r="X83" i="26" s="1"/>
  <c r="W37" i="26"/>
  <c r="V37" i="26"/>
  <c r="U37" i="26"/>
  <c r="T37" i="26"/>
  <c r="S37" i="26"/>
  <c r="R37" i="26"/>
  <c r="Q37" i="26"/>
  <c r="P37" i="26"/>
  <c r="P16" i="26" s="1"/>
  <c r="P83" i="26" s="1"/>
  <c r="O37" i="26"/>
  <c r="N37" i="26"/>
  <c r="M37" i="26"/>
  <c r="X36" i="26"/>
  <c r="W36" i="26"/>
  <c r="V36" i="26"/>
  <c r="U36" i="26"/>
  <c r="T36" i="26"/>
  <c r="S36" i="26"/>
  <c r="R36" i="26"/>
  <c r="Q36" i="26"/>
  <c r="P36" i="26"/>
  <c r="O36" i="26"/>
  <c r="N36" i="26"/>
  <c r="M36" i="26"/>
  <c r="N35" i="26"/>
  <c r="M35" i="26"/>
  <c r="AD35" i="26" s="1"/>
  <c r="AC33" i="26"/>
  <c r="AB33" i="26"/>
  <c r="AA33" i="26"/>
  <c r="Z33" i="26"/>
  <c r="Y33" i="26"/>
  <c r="AD32" i="26"/>
  <c r="AD31" i="26"/>
  <c r="AD30" i="26"/>
  <c r="AE12" i="26" s="1"/>
  <c r="J30" i="26"/>
  <c r="P29" i="26"/>
  <c r="O29" i="26"/>
  <c r="N29" i="26"/>
  <c r="M29" i="26"/>
  <c r="L29" i="26"/>
  <c r="K29" i="26"/>
  <c r="J29" i="26"/>
  <c r="AD29" i="26" s="1"/>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W16" i="26"/>
  <c r="W83" i="26" s="1"/>
  <c r="U16" i="26"/>
  <c r="U83" i="26" s="1"/>
  <c r="T16" i="26"/>
  <c r="T83" i="26" s="1"/>
  <c r="R16" i="26"/>
  <c r="R83" i="26" s="1"/>
  <c r="Q16" i="26"/>
  <c r="Q83" i="26" s="1"/>
  <c r="O16" i="26"/>
  <c r="O83" i="26" s="1"/>
  <c r="M16" i="26"/>
  <c r="AC15" i="26"/>
  <c r="AB15" i="26"/>
  <c r="AA15" i="26"/>
  <c r="Z15" i="26"/>
  <c r="Y15" i="26"/>
  <c r="AC14" i="26"/>
  <c r="AC81" i="26" s="1"/>
  <c r="AB14" i="26"/>
  <c r="AB81" i="26" s="1"/>
  <c r="AA14" i="26"/>
  <c r="AA81" i="26" s="1"/>
  <c r="Z14" i="26"/>
  <c r="Z81" i="26" s="1"/>
  <c r="Y14" i="26"/>
  <c r="Y81" i="26" s="1"/>
  <c r="X14" i="26"/>
  <c r="X81" i="26" s="1"/>
  <c r="W14" i="26"/>
  <c r="W81" i="26" s="1"/>
  <c r="V14" i="26"/>
  <c r="U14" i="26"/>
  <c r="U81" i="26" s="1"/>
  <c r="T14" i="26"/>
  <c r="T81" i="26" s="1"/>
  <c r="S14" i="26"/>
  <c r="S81" i="26" s="1"/>
  <c r="R14" i="26"/>
  <c r="R81" i="26" s="1"/>
  <c r="Q14" i="26"/>
  <c r="Q81" i="26" s="1"/>
  <c r="P14" i="26"/>
  <c r="P81" i="26" s="1"/>
  <c r="O14" i="26"/>
  <c r="O81" i="26" s="1"/>
  <c r="N14" i="26"/>
  <c r="M14" i="26"/>
  <c r="M81" i="26" s="1"/>
  <c r="L14" i="26"/>
  <c r="L81" i="26" s="1"/>
  <c r="K14" i="26"/>
  <c r="K81" i="26" s="1"/>
  <c r="J14" i="26"/>
  <c r="W13" i="26"/>
  <c r="T13" i="26"/>
  <c r="T87" i="26" s="1"/>
  <c r="S13" i="26"/>
  <c r="S87" i="26" s="1"/>
  <c r="R13" i="26"/>
  <c r="R87" i="26" s="1"/>
  <c r="Q13" i="26"/>
  <c r="Q87" i="26" s="1"/>
  <c r="P13" i="26"/>
  <c r="P87" i="26" s="1"/>
  <c r="O13" i="26"/>
  <c r="N13" i="26"/>
  <c r="N87" i="26" s="1"/>
  <c r="M13" i="26"/>
  <c r="M87" i="26" s="1"/>
  <c r="L13" i="26"/>
  <c r="L87" i="26" s="1"/>
  <c r="K13" i="26"/>
  <c r="K87" i="26" s="1"/>
  <c r="J13" i="26"/>
  <c r="AD12" i="26"/>
  <c r="J12" i="26"/>
  <c r="D50" i="26" s="1"/>
  <c r="T11" i="26"/>
  <c r="O11" i="26"/>
  <c r="L11" i="26"/>
  <c r="L20" i="26" s="1"/>
  <c r="L84" i="26" s="1"/>
  <c r="G11" i="26"/>
  <c r="G20" i="26" s="1"/>
  <c r="D11" i="26"/>
  <c r="D20" i="26" s="1"/>
  <c r="T10" i="26"/>
  <c r="S10" i="26"/>
  <c r="R10" i="26"/>
  <c r="Q10" i="26"/>
  <c r="Q11" i="26" s="1"/>
  <c r="P10" i="26"/>
  <c r="O10" i="26"/>
  <c r="N10" i="26"/>
  <c r="N11" i="26" s="1"/>
  <c r="M10" i="26"/>
  <c r="L10" i="26"/>
  <c r="K10" i="26"/>
  <c r="J10" i="26"/>
  <c r="I10" i="26"/>
  <c r="I11" i="26" s="1"/>
  <c r="I20" i="26" s="1"/>
  <c r="I84" i="26" s="1"/>
  <c r="I79" i="26" s="1"/>
  <c r="I48" i="20" s="1"/>
  <c r="H10" i="26"/>
  <c r="G10" i="26"/>
  <c r="F10" i="26"/>
  <c r="F11" i="26" s="1"/>
  <c r="F20" i="26" s="1"/>
  <c r="E10" i="26"/>
  <c r="D10" i="26"/>
  <c r="T9" i="26"/>
  <c r="S9" i="26"/>
  <c r="S11" i="26" s="1"/>
  <c r="R9" i="26"/>
  <c r="R11" i="26" s="1"/>
  <c r="Q9" i="26"/>
  <c r="P9" i="26"/>
  <c r="P11" i="26" s="1"/>
  <c r="O9" i="26"/>
  <c r="N9" i="26"/>
  <c r="M9" i="26"/>
  <c r="M11" i="26" s="1"/>
  <c r="L9" i="26"/>
  <c r="K9" i="26"/>
  <c r="K11" i="26" s="1"/>
  <c r="K20" i="26" s="1"/>
  <c r="K84" i="26" s="1"/>
  <c r="J9" i="26"/>
  <c r="J11" i="26" s="1"/>
  <c r="J20" i="26" s="1"/>
  <c r="J84" i="26" s="1"/>
  <c r="I9" i="26"/>
  <c r="H9" i="26"/>
  <c r="H11" i="26" s="1"/>
  <c r="H20" i="26" s="1"/>
  <c r="H84" i="26" s="1"/>
  <c r="H79" i="26" s="1"/>
  <c r="H48" i="20" s="1"/>
  <c r="G9" i="26"/>
  <c r="F9" i="26"/>
  <c r="E9" i="26"/>
  <c r="E11" i="26" s="1"/>
  <c r="E20" i="26" s="1"/>
  <c r="D9" i="26"/>
  <c r="D54" i="25"/>
  <c r="D51" i="25"/>
  <c r="S23" i="25" s="1"/>
  <c r="D48" i="25"/>
  <c r="D45" i="25"/>
  <c r="D42" i="25"/>
  <c r="P23" i="25" s="1"/>
  <c r="D39" i="25"/>
  <c r="D36" i="25"/>
  <c r="D33" i="25"/>
  <c r="T23" i="25"/>
  <c r="R23" i="25"/>
  <c r="Q23" i="25"/>
  <c r="O23" i="25"/>
  <c r="N23" i="25"/>
  <c r="M23"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M15" i="25"/>
  <c r="L15" i="25"/>
  <c r="K15" i="25"/>
  <c r="J15" i="25"/>
  <c r="I15" i="25"/>
  <c r="H15" i="25"/>
  <c r="G15" i="25"/>
  <c r="F15" i="25"/>
  <c r="E15" i="25"/>
  <c r="D15" i="25"/>
  <c r="T14" i="25"/>
  <c r="S14" i="25"/>
  <c r="R14" i="25"/>
  <c r="Q14" i="25"/>
  <c r="P14" i="25"/>
  <c r="P13" i="25" s="1"/>
  <c r="O14" i="25"/>
  <c r="N14" i="25"/>
  <c r="N13" i="25" s="1"/>
  <c r="M14" i="25"/>
  <c r="L14" i="25"/>
  <c r="K14" i="25"/>
  <c r="J14" i="25"/>
  <c r="J13" i="25" s="1"/>
  <c r="I14" i="25"/>
  <c r="H14" i="25"/>
  <c r="H13" i="25" s="1"/>
  <c r="G14" i="25"/>
  <c r="F14" i="25"/>
  <c r="E14" i="25"/>
  <c r="D14" i="25"/>
  <c r="R13" i="25"/>
  <c r="T12" i="25"/>
  <c r="U12" i="25" s="1"/>
  <c r="U14" i="25" s="1"/>
  <c r="S12" i="25"/>
  <c r="R12" i="25"/>
  <c r="Q12" i="25"/>
  <c r="P12" i="25"/>
  <c r="O12" i="25"/>
  <c r="N12" i="25"/>
  <c r="M12" i="25"/>
  <c r="L12" i="25"/>
  <c r="K12" i="25"/>
  <c r="J12" i="25"/>
  <c r="I12" i="25"/>
  <c r="H12" i="25"/>
  <c r="G12" i="25"/>
  <c r="F12" i="25"/>
  <c r="E12" i="25"/>
  <c r="D12" i="25"/>
  <c r="T11" i="25"/>
  <c r="S11" i="25"/>
  <c r="R11" i="25"/>
  <c r="Q11" i="25"/>
  <c r="P11" i="25"/>
  <c r="O11" i="25"/>
  <c r="N11" i="25"/>
  <c r="M11" i="25"/>
  <c r="L11" i="25"/>
  <c r="K11" i="25"/>
  <c r="J11" i="25"/>
  <c r="I11" i="25"/>
  <c r="I20" i="25" s="1"/>
  <c r="H11" i="25"/>
  <c r="H20" i="25" s="1"/>
  <c r="G11" i="25"/>
  <c r="G20" i="25" s="1"/>
  <c r="F11" i="25"/>
  <c r="E11" i="25"/>
  <c r="E20" i="25" s="1"/>
  <c r="D11" i="25"/>
  <c r="D20" i="25" s="1"/>
  <c r="D19" i="25" s="1"/>
  <c r="O14" i="56"/>
  <c r="O13" i="56"/>
  <c r="O12" i="56"/>
  <c r="O11" i="56"/>
  <c r="O10" i="56"/>
  <c r="O9" i="56"/>
  <c r="O8" i="56"/>
  <c r="O7" i="56"/>
  <c r="O6" i="56"/>
  <c r="O5" i="56"/>
  <c r="O4" i="56"/>
  <c r="D2" i="56"/>
  <c r="E2" i="56" s="1"/>
  <c r="F2" i="56" s="1"/>
  <c r="G2" i="56" s="1"/>
  <c r="H2" i="56" s="1"/>
  <c r="I2" i="56" s="1"/>
  <c r="J2" i="56" s="1"/>
  <c r="K2" i="56" s="1"/>
  <c r="L2" i="56" s="1"/>
  <c r="M2" i="56" s="1"/>
  <c r="N2" i="56" s="1"/>
  <c r="J6" i="71"/>
  <c r="K4" i="71"/>
  <c r="J4" i="71"/>
  <c r="I4" i="71"/>
  <c r="H4" i="71"/>
  <c r="G4" i="71"/>
  <c r="F4" i="71"/>
  <c r="D4" i="71"/>
  <c r="C4" i="71"/>
  <c r="K3" i="71"/>
  <c r="J3" i="71"/>
  <c r="I3" i="71"/>
  <c r="H3" i="71"/>
  <c r="G3" i="71"/>
  <c r="F3" i="71"/>
  <c r="E3" i="71"/>
  <c r="D3" i="71"/>
  <c r="C3" i="71"/>
  <c r="K2" i="71"/>
  <c r="J2" i="71"/>
  <c r="I2" i="71"/>
  <c r="H2" i="71"/>
  <c r="G2" i="71"/>
  <c r="F2" i="71"/>
  <c r="E2" i="71"/>
  <c r="D2" i="71"/>
  <c r="C2" i="71"/>
  <c r="J9" i="50"/>
  <c r="I9" i="50"/>
  <c r="H9" i="50"/>
  <c r="G9" i="50"/>
  <c r="F9" i="50"/>
  <c r="E9" i="50"/>
  <c r="D9" i="50"/>
  <c r="C9" i="50"/>
  <c r="E6" i="50"/>
  <c r="D6" i="50"/>
  <c r="C6" i="50"/>
  <c r="C5" i="50"/>
  <c r="M4" i="50"/>
  <c r="E4" i="50"/>
  <c r="D4" i="50"/>
  <c r="C4" i="50"/>
  <c r="AB51" i="72"/>
  <c r="V51" i="72"/>
  <c r="Z46" i="72"/>
  <c r="Z51" i="72" s="1"/>
  <c r="Y46" i="72"/>
  <c r="Y51" i="72" s="1"/>
  <c r="X46" i="72"/>
  <c r="X51" i="72" s="1"/>
  <c r="W46" i="72"/>
  <c r="V46" i="72"/>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A8" i="72"/>
  <c r="P51" i="62"/>
  <c r="P49" i="62"/>
  <c r="P48" i="62"/>
  <c r="Q47" i="62"/>
  <c r="P47" i="62"/>
  <c r="P46" i="62"/>
  <c r="O46" i="62"/>
  <c r="Q46" i="62" s="1"/>
  <c r="Q45" i="62"/>
  <c r="P45" i="62"/>
  <c r="Q44" i="62"/>
  <c r="P44" i="62"/>
  <c r="Q43" i="62"/>
  <c r="P43" i="62"/>
  <c r="P42" i="62"/>
  <c r="O42" i="62"/>
  <c r="Q42" i="62" s="1"/>
  <c r="P33" i="62"/>
  <c r="P32" i="62"/>
  <c r="P29" i="62"/>
  <c r="L23" i="35"/>
  <c r="K23" i="35"/>
  <c r="J23" i="35"/>
  <c r="K25" i="55" s="1"/>
  <c r="I23" i="35"/>
  <c r="H23" i="35"/>
  <c r="G23" i="35"/>
  <c r="F23" i="35"/>
  <c r="E23" i="35"/>
  <c r="D23" i="35"/>
  <c r="C23" i="35"/>
  <c r="C15" i="35"/>
  <c r="D17" i="55" s="1"/>
  <c r="D93" i="55" s="1"/>
  <c r="L14" i="35"/>
  <c r="K14" i="35"/>
  <c r="J14" i="35"/>
  <c r="I14" i="35"/>
  <c r="H14" i="35"/>
  <c r="G14" i="35"/>
  <c r="F14" i="35"/>
  <c r="E14" i="35"/>
  <c r="D14" i="35"/>
  <c r="C14" i="35"/>
  <c r="L13" i="35"/>
  <c r="K13" i="35"/>
  <c r="J13" i="35"/>
  <c r="I13" i="35"/>
  <c r="H13" i="35"/>
  <c r="G13" i="35"/>
  <c r="F13" i="35"/>
  <c r="E13" i="35"/>
  <c r="D13" i="35"/>
  <c r="C13" i="35"/>
  <c r="C12" i="35"/>
  <c r="L5" i="35"/>
  <c r="D5" i="35"/>
  <c r="C5" i="35"/>
  <c r="F4" i="35"/>
  <c r="E4" i="35"/>
  <c r="D4" i="35"/>
  <c r="C4" i="35"/>
  <c r="L3" i="35"/>
  <c r="H3" i="35"/>
  <c r="G3" i="35"/>
  <c r="D3" i="35"/>
  <c r="I92" i="55"/>
  <c r="K91" i="55"/>
  <c r="E82" i="55"/>
  <c r="H75" i="55"/>
  <c r="F75" i="55"/>
  <c r="M66" i="55"/>
  <c r="E66" i="55"/>
  <c r="D64" i="55"/>
  <c r="D56" i="55"/>
  <c r="M25" i="55"/>
  <c r="M101" i="55" s="1"/>
  <c r="L25" i="55"/>
  <c r="L101" i="55" s="1"/>
  <c r="J25" i="55"/>
  <c r="J101" i="55" s="1"/>
  <c r="I25" i="55"/>
  <c r="I101" i="55" s="1"/>
  <c r="H25" i="55"/>
  <c r="H101" i="55" s="1"/>
  <c r="G25" i="55"/>
  <c r="G75" i="55" s="1"/>
  <c r="F25" i="55"/>
  <c r="F101" i="55" s="1"/>
  <c r="E25" i="55"/>
  <c r="E101" i="55" s="1"/>
  <c r="D25" i="55"/>
  <c r="D101" i="55" s="1"/>
  <c r="C25" i="55"/>
  <c r="B25" i="55"/>
  <c r="C24" i="55"/>
  <c r="B24" i="55"/>
  <c r="C23" i="55"/>
  <c r="B23" i="55"/>
  <c r="C22" i="55"/>
  <c r="B22" i="55"/>
  <c r="C21" i="55"/>
  <c r="B21" i="55"/>
  <c r="C20" i="55"/>
  <c r="B20" i="55"/>
  <c r="C19" i="55"/>
  <c r="B19" i="55"/>
  <c r="C18" i="55"/>
  <c r="B18" i="55"/>
  <c r="C17" i="55"/>
  <c r="B17" i="55"/>
  <c r="M16" i="55"/>
  <c r="M92" i="55" s="1"/>
  <c r="L16" i="55"/>
  <c r="L66" i="55" s="1"/>
  <c r="K16" i="55"/>
  <c r="K66" i="55" s="1"/>
  <c r="J16" i="55"/>
  <c r="J66" i="55" s="1"/>
  <c r="I16" i="55"/>
  <c r="I66" i="55" s="1"/>
  <c r="H16" i="55"/>
  <c r="H92" i="55" s="1"/>
  <c r="G16" i="55"/>
  <c r="G92" i="55" s="1"/>
  <c r="F16" i="55"/>
  <c r="F92" i="55" s="1"/>
  <c r="E16" i="55"/>
  <c r="E92" i="55" s="1"/>
  <c r="D16" i="55"/>
  <c r="D66" i="55" s="1"/>
  <c r="C16" i="55"/>
  <c r="B16" i="55"/>
  <c r="M15" i="55"/>
  <c r="M65" i="55" s="1"/>
  <c r="L15" i="55"/>
  <c r="L65" i="55" s="1"/>
  <c r="K15" i="55"/>
  <c r="K65" i="55" s="1"/>
  <c r="J15" i="55"/>
  <c r="J91" i="55" s="1"/>
  <c r="I15" i="55"/>
  <c r="I91" i="55" s="1"/>
  <c r="H15" i="55"/>
  <c r="H91" i="55" s="1"/>
  <c r="G15" i="55"/>
  <c r="G65" i="55" s="1"/>
  <c r="F15" i="55"/>
  <c r="F65" i="55" s="1"/>
  <c r="E15" i="55"/>
  <c r="E65" i="55" s="1"/>
  <c r="D15" i="55"/>
  <c r="D65" i="55" s="1"/>
  <c r="C15" i="55"/>
  <c r="B15" i="55"/>
  <c r="D14" i="55"/>
  <c r="D90" i="55" s="1"/>
  <c r="C14" i="55"/>
  <c r="B14" i="55"/>
  <c r="C13" i="55"/>
  <c r="B13" i="55"/>
  <c r="C12" i="55"/>
  <c r="B12" i="55"/>
  <c r="C11" i="55"/>
  <c r="B11" i="55"/>
  <c r="C10" i="55"/>
  <c r="B10" i="55"/>
  <c r="C9" i="55"/>
  <c r="B9" i="55"/>
  <c r="C8" i="55"/>
  <c r="B8" i="55"/>
  <c r="M7" i="55"/>
  <c r="M57" i="55" s="1"/>
  <c r="E7" i="55"/>
  <c r="E57" i="55" s="1"/>
  <c r="D7" i="55"/>
  <c r="D57" i="55" s="1"/>
  <c r="C7" i="55"/>
  <c r="B7" i="55"/>
  <c r="G6" i="55"/>
  <c r="G56" i="55" s="1"/>
  <c r="F6" i="55"/>
  <c r="F56" i="55" s="1"/>
  <c r="E6" i="55"/>
  <c r="E56" i="55" s="1"/>
  <c r="D6" i="55"/>
  <c r="D82" i="55" s="1"/>
  <c r="C6" i="55"/>
  <c r="B6" i="55"/>
  <c r="M5" i="55"/>
  <c r="M81" i="55" s="1"/>
  <c r="I5" i="55"/>
  <c r="I55" i="55" s="1"/>
  <c r="H5" i="55"/>
  <c r="H55" i="55" s="1"/>
  <c r="E5" i="55"/>
  <c r="E81" i="55" s="1"/>
  <c r="C5" i="55"/>
  <c r="B5" i="55"/>
  <c r="C4" i="55"/>
  <c r="B4" i="55"/>
  <c r="J3" i="55"/>
  <c r="I3" i="55"/>
  <c r="H3" i="55"/>
  <c r="G3" i="55"/>
  <c r="F3" i="55"/>
  <c r="E3" i="55"/>
  <c r="D3" i="55"/>
  <c r="C3" i="55"/>
  <c r="B3" i="55"/>
  <c r="E81" i="46"/>
  <c r="F81" i="46" s="1"/>
  <c r="G81" i="46" s="1"/>
  <c r="C81" i="46"/>
  <c r="F80" i="46"/>
  <c r="G80" i="46" s="1"/>
  <c r="E80" i="46"/>
  <c r="C80" i="46"/>
  <c r="E79" i="46"/>
  <c r="F79" i="46" s="1"/>
  <c r="G79" i="46" s="1"/>
  <c r="C79" i="46"/>
  <c r="F78" i="46"/>
  <c r="G78" i="46" s="1"/>
  <c r="E78" i="46"/>
  <c r="C78" i="46"/>
  <c r="E77" i="46"/>
  <c r="F77" i="46" s="1"/>
  <c r="G77" i="46" s="1"/>
  <c r="C77" i="46"/>
  <c r="F76" i="46"/>
  <c r="G76" i="46" s="1"/>
  <c r="E76" i="46"/>
  <c r="C76" i="46"/>
  <c r="E75" i="46"/>
  <c r="F75" i="46" s="1"/>
  <c r="G75" i="46" s="1"/>
  <c r="C75" i="46"/>
  <c r="F74" i="46"/>
  <c r="G74" i="46" s="1"/>
  <c r="E74" i="46"/>
  <c r="C74" i="46"/>
  <c r="E73" i="46"/>
  <c r="F73" i="46" s="1"/>
  <c r="G73" i="46" s="1"/>
  <c r="C73" i="46"/>
  <c r="F72" i="46"/>
  <c r="G72" i="46" s="1"/>
  <c r="E72" i="46"/>
  <c r="C72" i="46"/>
  <c r="E71" i="46"/>
  <c r="F71" i="46" s="1"/>
  <c r="G71" i="46" s="1"/>
  <c r="C71" i="46"/>
  <c r="F70" i="46"/>
  <c r="G70" i="46" s="1"/>
  <c r="E70" i="46"/>
  <c r="C70" i="46"/>
  <c r="E69" i="46"/>
  <c r="F69" i="46" s="1"/>
  <c r="G69" i="46" s="1"/>
  <c r="C69" i="46"/>
  <c r="F68" i="46"/>
  <c r="G68" i="46" s="1"/>
  <c r="E68" i="46"/>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F60" i="46"/>
  <c r="G60" i="46" s="1"/>
  <c r="E60" i="46"/>
  <c r="C60" i="46"/>
  <c r="E59" i="46"/>
  <c r="F59" i="46" s="1"/>
  <c r="G59" i="46" s="1"/>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G29" i="46"/>
  <c r="F29" i="46"/>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Q20" i="25" l="1"/>
  <c r="J20" i="25"/>
  <c r="T13" i="25"/>
  <c r="U13" i="25"/>
  <c r="R20" i="25"/>
  <c r="R19" i="25" s="1"/>
  <c r="R14" i="59" s="1"/>
  <c r="L20" i="25"/>
  <c r="L19" i="25" s="1"/>
  <c r="T20" i="25"/>
  <c r="T19" i="25" s="1"/>
  <c r="C8" i="35" s="1"/>
  <c r="D10" i="55" s="1"/>
  <c r="D86" i="55" s="1"/>
  <c r="M13" i="25"/>
  <c r="K13" i="25"/>
  <c r="K20" i="25" s="1"/>
  <c r="K19" i="25" s="1"/>
  <c r="S13" i="25"/>
  <c r="I13" i="25"/>
  <c r="O13" i="25"/>
  <c r="O20" i="25" s="1"/>
  <c r="O19" i="25" s="1"/>
  <c r="O14" i="59" s="1"/>
  <c r="P20" i="25"/>
  <c r="L44" i="59"/>
  <c r="T44" i="59"/>
  <c r="M44" i="59"/>
  <c r="N44" i="59"/>
  <c r="E74" i="59"/>
  <c r="E78" i="59" s="1"/>
  <c r="G60" i="48"/>
  <c r="G67" i="48" s="1"/>
  <c r="G39" i="48"/>
  <c r="P110" i="48"/>
  <c r="I39" i="48"/>
  <c r="L139" i="48"/>
  <c r="G38" i="48"/>
  <c r="G59" i="48" s="1"/>
  <c r="G66" i="48" s="1"/>
  <c r="G89" i="48" s="1"/>
  <c r="I38" i="48"/>
  <c r="I110" i="48"/>
  <c r="Q110" i="48"/>
  <c r="J111" i="48"/>
  <c r="R111" i="48"/>
  <c r="I134" i="48"/>
  <c r="J37" i="48"/>
  <c r="J41" i="48" s="1"/>
  <c r="L111" i="48"/>
  <c r="H40" i="48"/>
  <c r="M125" i="48"/>
  <c r="F126" i="48"/>
  <c r="N126" i="48"/>
  <c r="W149" i="48"/>
  <c r="X149" i="48" s="1"/>
  <c r="Y149" i="48" s="1"/>
  <c r="Z149" i="48" s="1"/>
  <c r="AA149" i="48" s="1"/>
  <c r="AB149" i="48" s="1"/>
  <c r="AC149" i="48" s="1"/>
  <c r="W151" i="48"/>
  <c r="X151" i="48" s="1"/>
  <c r="Y151" i="48" s="1"/>
  <c r="Z151" i="48" s="1"/>
  <c r="AA151" i="48" s="1"/>
  <c r="AB151" i="48" s="1"/>
  <c r="AC151" i="48" s="1"/>
  <c r="W153" i="48"/>
  <c r="X153" i="48" s="1"/>
  <c r="Y153" i="48" s="1"/>
  <c r="Z153" i="48" s="1"/>
  <c r="AA153" i="48" s="1"/>
  <c r="AB153" i="48" s="1"/>
  <c r="AC153" i="48" s="1"/>
  <c r="L110" i="48"/>
  <c r="H39" i="48"/>
  <c r="H43" i="48" s="1"/>
  <c r="M124" i="48"/>
  <c r="P139" i="48"/>
  <c r="J9" i="48"/>
  <c r="H38" i="48"/>
  <c r="H42" i="48" s="1"/>
  <c r="M110" i="48"/>
  <c r="N111" i="48"/>
  <c r="I91" i="48" s="1"/>
  <c r="J91" i="48" s="1"/>
  <c r="K91" i="48" s="1"/>
  <c r="L91" i="48" s="1"/>
  <c r="T22" i="48"/>
  <c r="C20" i="35" s="1"/>
  <c r="D22" i="55" s="1"/>
  <c r="D98" i="55" s="1"/>
  <c r="I139" i="48"/>
  <c r="L9" i="48"/>
  <c r="H37" i="48"/>
  <c r="H41" i="48" s="1"/>
  <c r="H111" i="48"/>
  <c r="G40" i="48"/>
  <c r="P111" i="48"/>
  <c r="I40" i="48"/>
  <c r="L22" i="48"/>
  <c r="I125" i="48"/>
  <c r="Q125" i="48"/>
  <c r="J126" i="48"/>
  <c r="R126" i="48"/>
  <c r="X26" i="48"/>
  <c r="S135" i="48"/>
  <c r="L136" i="48"/>
  <c r="N139" i="48"/>
  <c r="G139" i="48"/>
  <c r="O139" i="48"/>
  <c r="H139" i="48"/>
  <c r="M157" i="48"/>
  <c r="U157" i="48"/>
  <c r="AC157" i="48"/>
  <c r="N134" i="48"/>
  <c r="G135" i="48"/>
  <c r="O135" i="48"/>
  <c r="H136" i="48"/>
  <c r="P136" i="48"/>
  <c r="I22" i="48"/>
  <c r="Q22" i="48"/>
  <c r="E91" i="48"/>
  <c r="H135" i="48"/>
  <c r="P135" i="48"/>
  <c r="G114" i="48"/>
  <c r="G123" i="48" s="1"/>
  <c r="O114" i="48"/>
  <c r="O123" i="48" s="1"/>
  <c r="K136" i="48"/>
  <c r="S136" i="48"/>
  <c r="Q134" i="48"/>
  <c r="K12" i="49"/>
  <c r="S12" i="49"/>
  <c r="C11" i="35"/>
  <c r="D13" i="55" s="1"/>
  <c r="D89" i="55" s="1"/>
  <c r="E12" i="49"/>
  <c r="E28" i="49" s="1"/>
  <c r="M12" i="49"/>
  <c r="M28" i="49" s="1"/>
  <c r="K28" i="49"/>
  <c r="P28" i="49"/>
  <c r="I28" i="49"/>
  <c r="Q28" i="49"/>
  <c r="H12" i="49"/>
  <c r="C18" i="49" s="1"/>
  <c r="C19" i="49" s="1"/>
  <c r="P12" i="49"/>
  <c r="F50" i="49"/>
  <c r="N124" i="48"/>
  <c r="V25" i="48"/>
  <c r="K157" i="48"/>
  <c r="S157" i="48"/>
  <c r="AA157" i="48"/>
  <c r="G134" i="48"/>
  <c r="O134" i="48"/>
  <c r="I136" i="48"/>
  <c r="Q136" i="48"/>
  <c r="N138" i="48"/>
  <c r="N133" i="48"/>
  <c r="I9" i="48"/>
  <c r="Q9" i="48"/>
  <c r="X25" i="48"/>
  <c r="U26" i="48"/>
  <c r="E88" i="48"/>
  <c r="H114" i="48"/>
  <c r="H107" i="48" s="1"/>
  <c r="P114" i="48"/>
  <c r="G138" i="48"/>
  <c r="O138" i="48"/>
  <c r="H134" i="48"/>
  <c r="O9" i="48"/>
  <c r="V26" i="48"/>
  <c r="F88" i="48"/>
  <c r="L157" i="48"/>
  <c r="T157" i="48"/>
  <c r="AB157" i="48"/>
  <c r="H133" i="48"/>
  <c r="P133" i="48"/>
  <c r="J135" i="48"/>
  <c r="R135" i="48"/>
  <c r="H22" i="48"/>
  <c r="P22" i="48"/>
  <c r="F91" i="48"/>
  <c r="N157" i="48"/>
  <c r="V157" i="48"/>
  <c r="K134" i="48"/>
  <c r="S134" i="48"/>
  <c r="L135" i="48"/>
  <c r="M136" i="48"/>
  <c r="J138" i="48"/>
  <c r="R138" i="48"/>
  <c r="K139" i="48"/>
  <c r="S139" i="48"/>
  <c r="V147" i="48"/>
  <c r="W147" i="48" s="1"/>
  <c r="X147" i="48" s="1"/>
  <c r="Y147" i="48" s="1"/>
  <c r="Z147" i="48" s="1"/>
  <c r="AA147" i="48" s="1"/>
  <c r="AB147" i="48" s="1"/>
  <c r="AC147" i="48" s="1"/>
  <c r="T9" i="48"/>
  <c r="C19" i="35" s="1"/>
  <c r="D21" i="55" s="1"/>
  <c r="D97" i="55" s="1"/>
  <c r="F114" i="48"/>
  <c r="N114" i="48"/>
  <c r="N107" i="48" s="1"/>
  <c r="H88" i="48" s="1"/>
  <c r="I88" i="48" s="1"/>
  <c r="J88" i="48" s="1"/>
  <c r="K88" i="48" s="1"/>
  <c r="L88" i="48" s="1"/>
  <c r="G119" i="48"/>
  <c r="G124" i="48" s="1"/>
  <c r="S138" i="48"/>
  <c r="D72" i="55"/>
  <c r="F9" i="48"/>
  <c r="F67" i="48"/>
  <c r="F90" i="48" s="1"/>
  <c r="H157" i="48"/>
  <c r="P157" i="48"/>
  <c r="X157" i="48"/>
  <c r="I114" i="48"/>
  <c r="I132" i="48" s="1"/>
  <c r="L133" i="48"/>
  <c r="N135" i="48"/>
  <c r="U25" i="48"/>
  <c r="Q114" i="48"/>
  <c r="Q107" i="48" s="1"/>
  <c r="O119" i="48"/>
  <c r="O137" i="48" s="1"/>
  <c r="M133" i="48"/>
  <c r="K101" i="55"/>
  <c r="K75" i="55"/>
  <c r="W47" i="20"/>
  <c r="F3" i="35"/>
  <c r="G5" i="55" s="1"/>
  <c r="AA42" i="70"/>
  <c r="AA20" i="70" s="1"/>
  <c r="AA27" i="70" s="1"/>
  <c r="I6" i="71" s="1"/>
  <c r="AA18" i="70"/>
  <c r="AA26" i="70" s="1"/>
  <c r="I5" i="71" s="1"/>
  <c r="G184" i="65"/>
  <c r="T85" i="26"/>
  <c r="D63" i="55"/>
  <c r="H65" i="55"/>
  <c r="F66" i="55"/>
  <c r="D67" i="55"/>
  <c r="D75" i="55"/>
  <c r="L75" i="55"/>
  <c r="H81" i="55"/>
  <c r="F82" i="55"/>
  <c r="D83" i="55"/>
  <c r="D91" i="55"/>
  <c r="L91" i="55"/>
  <c r="J92" i="55"/>
  <c r="E55" i="55"/>
  <c r="M55" i="55"/>
  <c r="I65" i="55"/>
  <c r="G66" i="55"/>
  <c r="E75" i="55"/>
  <c r="M75" i="55"/>
  <c r="I81" i="55"/>
  <c r="G82" i="55"/>
  <c r="E83" i="55"/>
  <c r="M83" i="55"/>
  <c r="E91" i="55"/>
  <c r="M91" i="55"/>
  <c r="K92" i="55"/>
  <c r="J65" i="55"/>
  <c r="H66" i="55"/>
  <c r="D88" i="55"/>
  <c r="F91" i="55"/>
  <c r="D92" i="55"/>
  <c r="L92" i="55"/>
  <c r="G101" i="55"/>
  <c r="J19" i="25"/>
  <c r="J14" i="59" s="1"/>
  <c r="J15" i="59"/>
  <c r="D22" i="33"/>
  <c r="G91" i="55"/>
  <c r="W51" i="72"/>
  <c r="D14" i="59"/>
  <c r="D54" i="59" s="1"/>
  <c r="D55" i="59" s="1"/>
  <c r="L14" i="59"/>
  <c r="I75" i="55"/>
  <c r="AA46" i="72"/>
  <c r="AA51" i="72" s="1"/>
  <c r="M20" i="25"/>
  <c r="J75" i="55"/>
  <c r="F20" i="25"/>
  <c r="F19" i="25" s="1"/>
  <c r="N20" i="25"/>
  <c r="N19" i="25" s="1"/>
  <c r="V12" i="25"/>
  <c r="E19" i="25"/>
  <c r="E14" i="59" s="1"/>
  <c r="S20" i="25"/>
  <c r="E50" i="26"/>
  <c r="AD36" i="26"/>
  <c r="AD38" i="26"/>
  <c r="AD40" i="26"/>
  <c r="AE19" i="26" s="1"/>
  <c r="V99" i="26"/>
  <c r="H47" i="20"/>
  <c r="H49" i="20" s="1"/>
  <c r="H27" i="20" s="1"/>
  <c r="AB99" i="26"/>
  <c r="T99" i="26"/>
  <c r="AA99" i="26"/>
  <c r="S99" i="26"/>
  <c r="Z99" i="26"/>
  <c r="R99" i="26"/>
  <c r="W12" i="33"/>
  <c r="V12" i="33"/>
  <c r="U12" i="33"/>
  <c r="U10" i="33" s="1"/>
  <c r="T12" i="33"/>
  <c r="AB8" i="72"/>
  <c r="AC8" i="72" s="1"/>
  <c r="I49" i="20"/>
  <c r="I12" i="20" s="1"/>
  <c r="G19" i="25"/>
  <c r="G14" i="59" s="1"/>
  <c r="I46" i="30"/>
  <c r="AB12" i="30"/>
  <c r="AA12" i="30"/>
  <c r="U12" i="30"/>
  <c r="H19" i="25"/>
  <c r="H14" i="59" s="1"/>
  <c r="P19" i="25"/>
  <c r="P14" i="59" s="1"/>
  <c r="D51" i="26"/>
  <c r="J87" i="26"/>
  <c r="AF13" i="26"/>
  <c r="K26" i="20"/>
  <c r="K30" i="59"/>
  <c r="K31" i="59" s="1"/>
  <c r="K29" i="49"/>
  <c r="S30" i="59"/>
  <c r="S31" i="59" s="1"/>
  <c r="S28" i="49"/>
  <c r="S29" i="49" s="1"/>
  <c r="I19" i="25"/>
  <c r="I14" i="59" s="1"/>
  <c r="Q19" i="25"/>
  <c r="Q14" i="59" s="1"/>
  <c r="AD14" i="26"/>
  <c r="J81" i="26"/>
  <c r="AD37" i="26"/>
  <c r="E51" i="26"/>
  <c r="X11" i="20"/>
  <c r="N30" i="59"/>
  <c r="N31" i="59" s="1"/>
  <c r="K79" i="26"/>
  <c r="AD19" i="26"/>
  <c r="D52" i="26"/>
  <c r="E52" i="26" s="1"/>
  <c r="S25" i="20"/>
  <c r="V26" i="20"/>
  <c r="L79" i="26"/>
  <c r="S16" i="26"/>
  <c r="S83" i="26" s="1"/>
  <c r="H12" i="20"/>
  <c r="W15" i="30"/>
  <c r="X17" i="30"/>
  <c r="M83" i="26"/>
  <c r="T25" i="20"/>
  <c r="O26" i="20"/>
  <c r="O25" i="20" s="1"/>
  <c r="J12" i="30"/>
  <c r="L13" i="30"/>
  <c r="L15" i="30"/>
  <c r="D30" i="59"/>
  <c r="D31" i="59" s="1"/>
  <c r="D29" i="49"/>
  <c r="L30" i="59"/>
  <c r="L31" i="59" s="1"/>
  <c r="T30" i="59"/>
  <c r="T31" i="59" s="1"/>
  <c r="T29" i="49"/>
  <c r="U26" i="49"/>
  <c r="C53" i="26"/>
  <c r="K12" i="30"/>
  <c r="H15" i="30"/>
  <c r="H13" i="30"/>
  <c r="H12" i="30" s="1"/>
  <c r="U126" i="48"/>
  <c r="T27" i="48"/>
  <c r="C22" i="35" s="1"/>
  <c r="L12" i="30"/>
  <c r="I15" i="30"/>
  <c r="I13" i="30"/>
  <c r="I12" i="30" s="1"/>
  <c r="V21" i="30"/>
  <c r="W21" i="30" s="1"/>
  <c r="X21" i="30" s="1"/>
  <c r="Y21" i="30" s="1"/>
  <c r="Z21" i="30" s="1"/>
  <c r="AA21" i="30" s="1"/>
  <c r="AB21" i="30" s="1"/>
  <c r="AC21" i="30" s="1"/>
  <c r="F28" i="49"/>
  <c r="H59" i="48"/>
  <c r="H66" i="48" s="1"/>
  <c r="M12" i="30"/>
  <c r="G26" i="49"/>
  <c r="O26" i="49"/>
  <c r="F12" i="49"/>
  <c r="N12" i="49"/>
  <c r="N28" i="49" s="1"/>
  <c r="N29" i="49" s="1"/>
  <c r="N12" i="30"/>
  <c r="G12" i="49"/>
  <c r="G28" i="49" s="1"/>
  <c r="O12" i="49"/>
  <c r="O28" i="49" s="1"/>
  <c r="E30" i="59"/>
  <c r="E31" i="59" s="1"/>
  <c r="E29" i="49"/>
  <c r="G50" i="49"/>
  <c r="H50" i="49" s="1"/>
  <c r="I50" i="49" s="1"/>
  <c r="X12" i="49" s="1"/>
  <c r="C49" i="26"/>
  <c r="N13" i="30"/>
  <c r="E18" i="49"/>
  <c r="E19" i="49" s="1"/>
  <c r="F26" i="49"/>
  <c r="L28" i="49"/>
  <c r="L29" i="49" s="1"/>
  <c r="J133" i="48"/>
  <c r="J119" i="48"/>
  <c r="J124" i="48" s="1"/>
  <c r="J114" i="48"/>
  <c r="J123" i="48" s="1"/>
  <c r="R133" i="48"/>
  <c r="R119" i="48"/>
  <c r="R124" i="48" s="1"/>
  <c r="R114" i="48"/>
  <c r="R107" i="48" s="1"/>
  <c r="R25" i="20"/>
  <c r="Z12" i="30"/>
  <c r="Y12" i="30"/>
  <c r="X12" i="30"/>
  <c r="W12" i="30"/>
  <c r="V12" i="30"/>
  <c r="AC12" i="30"/>
  <c r="U13" i="30"/>
  <c r="J15" i="30"/>
  <c r="O29" i="30"/>
  <c r="J28" i="49"/>
  <c r="R30" i="59"/>
  <c r="R31" i="59" s="1"/>
  <c r="R28" i="49"/>
  <c r="R29" i="49" s="1"/>
  <c r="F18" i="49"/>
  <c r="F19" i="49" s="1"/>
  <c r="F20" i="49" s="1"/>
  <c r="M30" i="59"/>
  <c r="M31" i="59" s="1"/>
  <c r="M29" i="49"/>
  <c r="D75" i="59"/>
  <c r="D72" i="59"/>
  <c r="D73" i="59" s="1"/>
  <c r="E22" i="33"/>
  <c r="E75" i="59"/>
  <c r="G58" i="48"/>
  <c r="G65" i="48" s="1"/>
  <c r="P107" i="48"/>
  <c r="S4" i="48"/>
  <c r="N9" i="48"/>
  <c r="N109" i="48"/>
  <c r="H89" i="48" s="1"/>
  <c r="I89" i="48" s="1"/>
  <c r="J89" i="48" s="1"/>
  <c r="K89" i="48" s="1"/>
  <c r="L89" i="48" s="1"/>
  <c r="H26" i="49"/>
  <c r="P26" i="49"/>
  <c r="F23" i="33"/>
  <c r="O44" i="59"/>
  <c r="P9" i="48"/>
  <c r="Y25" i="48"/>
  <c r="Z124" i="48"/>
  <c r="I26" i="49"/>
  <c r="Q26" i="49"/>
  <c r="Q42" i="59"/>
  <c r="Q20" i="59" s="1"/>
  <c r="I42" i="59"/>
  <c r="I20" i="59" s="1"/>
  <c r="O42" i="59"/>
  <c r="O20" i="59" s="1"/>
  <c r="N42" i="59"/>
  <c r="N20" i="59" s="1"/>
  <c r="M42" i="59"/>
  <c r="M20" i="59" s="1"/>
  <c r="T42" i="59"/>
  <c r="L42" i="59"/>
  <c r="L20" i="59" s="1"/>
  <c r="S42" i="59"/>
  <c r="S20" i="59" s="1"/>
  <c r="K42" i="59"/>
  <c r="K20" i="59" s="1"/>
  <c r="P42" i="59"/>
  <c r="P20" i="59" s="1"/>
  <c r="P44" i="59"/>
  <c r="J26" i="49"/>
  <c r="E19" i="33"/>
  <c r="D74" i="59"/>
  <c r="D78" i="59" s="1"/>
  <c r="J42" i="59"/>
  <c r="J20" i="59" s="1"/>
  <c r="Q44" i="59"/>
  <c r="H9" i="48"/>
  <c r="N30" i="30"/>
  <c r="N29" i="30" s="1"/>
  <c r="E72" i="59"/>
  <c r="E73" i="59" s="1"/>
  <c r="F19" i="33"/>
  <c r="R42" i="59"/>
  <c r="R20" i="59" s="1"/>
  <c r="J44" i="59"/>
  <c r="R44" i="59"/>
  <c r="H58" i="48"/>
  <c r="H65" i="48" s="1"/>
  <c r="Y26" i="48"/>
  <c r="Z125" i="48"/>
  <c r="E67" i="48"/>
  <c r="E82" i="48"/>
  <c r="E90" i="48" s="1"/>
  <c r="E89" i="48"/>
  <c r="K44" i="59"/>
  <c r="S44" i="59"/>
  <c r="I90" i="48"/>
  <c r="I107" i="48"/>
  <c r="F89" i="48"/>
  <c r="K133" i="48"/>
  <c r="K119" i="48"/>
  <c r="K137" i="48" s="1"/>
  <c r="K114" i="48"/>
  <c r="K132" i="48" s="1"/>
  <c r="S133" i="48"/>
  <c r="S119" i="48"/>
  <c r="S137" i="48" s="1"/>
  <c r="S114" i="48"/>
  <c r="S132" i="48" s="1"/>
  <c r="M134" i="48"/>
  <c r="L134" i="48"/>
  <c r="L114" i="48"/>
  <c r="L107" i="48" s="1"/>
  <c r="T114" i="48"/>
  <c r="T107" i="48" s="1"/>
  <c r="U107" i="48" s="1"/>
  <c r="V107" i="48" s="1"/>
  <c r="W107" i="48" s="1"/>
  <c r="X107" i="48" s="1"/>
  <c r="Y107" i="48" s="1"/>
  <c r="Z107" i="48" s="1"/>
  <c r="AA107" i="48" s="1"/>
  <c r="AB107" i="48" s="1"/>
  <c r="AC107" i="48" s="1"/>
  <c r="M114" i="48"/>
  <c r="M107" i="48" s="1"/>
  <c r="M135" i="48"/>
  <c r="G137" i="48"/>
  <c r="G136" i="48"/>
  <c r="J157" i="48"/>
  <c r="O23" i="38"/>
  <c r="P31" i="38"/>
  <c r="Q38" i="38"/>
  <c r="R38" i="38" s="1"/>
  <c r="P38" i="38"/>
  <c r="G90" i="48"/>
  <c r="G88" i="48"/>
  <c r="N137" i="48"/>
  <c r="N136" i="48"/>
  <c r="T41" i="38"/>
  <c r="P40" i="38"/>
  <c r="F124" i="48"/>
  <c r="R157" i="48"/>
  <c r="N16" i="38"/>
  <c r="M16" i="38"/>
  <c r="P35" i="38"/>
  <c r="N15" i="40"/>
  <c r="P14" i="40"/>
  <c r="P17" i="40" s="1"/>
  <c r="J109" i="48"/>
  <c r="R109" i="48"/>
  <c r="W25" i="48"/>
  <c r="W26" i="48"/>
  <c r="T145" i="48"/>
  <c r="U145" i="48" s="1"/>
  <c r="V145" i="48" s="1"/>
  <c r="W145" i="48" s="1"/>
  <c r="X145" i="48" s="1"/>
  <c r="Y145" i="48" s="1"/>
  <c r="S30" i="38"/>
  <c r="O29" i="38"/>
  <c r="Q29" i="38" s="1"/>
  <c r="S109" i="48"/>
  <c r="G61" i="48"/>
  <c r="G68" i="48" s="1"/>
  <c r="G91" i="48" s="1"/>
  <c r="J90" i="48"/>
  <c r="K90" i="48" s="1"/>
  <c r="L90" i="48" s="1"/>
  <c r="H110" i="48"/>
  <c r="H132" i="48"/>
  <c r="P132" i="48"/>
  <c r="Z157" i="48"/>
  <c r="I138" i="48"/>
  <c r="H138" i="48"/>
  <c r="Q138" i="48"/>
  <c r="P138" i="48"/>
  <c r="M21" i="38"/>
  <c r="S25" i="38"/>
  <c r="M24" i="38"/>
  <c r="O24" i="38" s="1"/>
  <c r="J139" i="48"/>
  <c r="R139" i="48"/>
  <c r="S18" i="38"/>
  <c r="L17" i="38"/>
  <c r="N17" i="38" s="1"/>
  <c r="N25" i="38"/>
  <c r="Q28" i="38"/>
  <c r="H119" i="48"/>
  <c r="H137" i="48" s="1"/>
  <c r="P119" i="48"/>
  <c r="P137" i="48" s="1"/>
  <c r="G133" i="48"/>
  <c r="O133" i="48"/>
  <c r="K56" i="38"/>
  <c r="L66" i="38"/>
  <c r="L71" i="38" s="1"/>
  <c r="L16" i="40"/>
  <c r="I119" i="48"/>
  <c r="Q119" i="48"/>
  <c r="L11" i="38"/>
  <c r="L13" i="38"/>
  <c r="N13" i="38" s="1"/>
  <c r="O48" i="38"/>
  <c r="I67" i="38"/>
  <c r="L69" i="38"/>
  <c r="P15" i="40"/>
  <c r="U18" i="70"/>
  <c r="U26" i="70" s="1"/>
  <c r="C5" i="71" s="1"/>
  <c r="U42" i="70"/>
  <c r="U20" i="70" s="1"/>
  <c r="U27" i="70" s="1"/>
  <c r="C6" i="71" s="1"/>
  <c r="AC18" i="70"/>
  <c r="AC26" i="70" s="1"/>
  <c r="K5" i="71" s="1"/>
  <c r="AC42" i="70"/>
  <c r="AC20" i="70" s="1"/>
  <c r="AC27" i="70" s="1"/>
  <c r="K6" i="71" s="1"/>
  <c r="J136" i="48"/>
  <c r="R136" i="48"/>
  <c r="L15" i="38"/>
  <c r="N15" i="38" s="1"/>
  <c r="O27" i="38"/>
  <c r="Q27" i="38" s="1"/>
  <c r="M56" i="38"/>
  <c r="N55" i="38"/>
  <c r="K14" i="40"/>
  <c r="S14" i="40"/>
  <c r="S17" i="40" s="1"/>
  <c r="AB18" i="70"/>
  <c r="AB26" i="70" s="1"/>
  <c r="J5" i="71" s="1"/>
  <c r="V18" i="70"/>
  <c r="V26" i="70" s="1"/>
  <c r="D5" i="71" s="1"/>
  <c r="V42" i="70"/>
  <c r="V20" i="70" s="1"/>
  <c r="V27" i="70" s="1"/>
  <c r="D6" i="71" s="1"/>
  <c r="AD18" i="70"/>
  <c r="AD26" i="70" s="1"/>
  <c r="AD42" i="70"/>
  <c r="AD20" i="70" s="1"/>
  <c r="AD27" i="70" s="1"/>
  <c r="Q5" i="21"/>
  <c r="AA17" i="59" s="1"/>
  <c r="J15" i="35" s="1"/>
  <c r="K17" i="55" s="1"/>
  <c r="O5" i="21"/>
  <c r="Y17" i="59" s="1"/>
  <c r="H15" i="35" s="1"/>
  <c r="I17" i="55" s="1"/>
  <c r="N5" i="21"/>
  <c r="P5" i="21"/>
  <c r="Z17" i="59" s="1"/>
  <c r="I15" i="35" s="1"/>
  <c r="J17" i="55" s="1"/>
  <c r="Q43" i="38"/>
  <c r="N56" i="38"/>
  <c r="J65" i="38"/>
  <c r="K69" i="38"/>
  <c r="W16" i="70"/>
  <c r="W25" i="70" s="1"/>
  <c r="E4" i="71" s="1"/>
  <c r="W41" i="70"/>
  <c r="AE16" i="70"/>
  <c r="AE25" i="70" s="1"/>
  <c r="AE41" i="70"/>
  <c r="F4" i="21"/>
  <c r="I4" i="21"/>
  <c r="S18" i="59" s="1"/>
  <c r="S24" i="59" s="1"/>
  <c r="L5" i="50" s="1"/>
  <c r="G4" i="21"/>
  <c r="Q18" i="59" s="1"/>
  <c r="Q24" i="59" s="1"/>
  <c r="J5" i="50" s="1"/>
  <c r="H4" i="21"/>
  <c r="R18" i="59" s="1"/>
  <c r="R24" i="59" s="1"/>
  <c r="K5" i="50" s="1"/>
  <c r="L119" i="48"/>
  <c r="M137" i="48" s="1"/>
  <c r="P37" i="38"/>
  <c r="R37" i="38" s="1"/>
  <c r="O56" i="38"/>
  <c r="S15" i="40"/>
  <c r="P16" i="40"/>
  <c r="X18" i="70"/>
  <c r="X26" i="70" s="1"/>
  <c r="F5" i="71" s="1"/>
  <c r="X42" i="70"/>
  <c r="X20" i="70" s="1"/>
  <c r="X27" i="70" s="1"/>
  <c r="F6" i="71" s="1"/>
  <c r="AF18" i="70"/>
  <c r="AF26" i="70" s="1"/>
  <c r="AF42" i="70"/>
  <c r="AF20" i="70" s="1"/>
  <c r="AF27" i="70" s="1"/>
  <c r="I5" i="21"/>
  <c r="S17" i="59" s="1"/>
  <c r="L4" i="50" s="1"/>
  <c r="G5" i="21"/>
  <c r="Q17" i="59" s="1"/>
  <c r="J4" i="50" s="1"/>
  <c r="F5" i="21"/>
  <c r="H5" i="21"/>
  <c r="R17" i="59" s="1"/>
  <c r="K4" i="50" s="1"/>
  <c r="Q40" i="38"/>
  <c r="R40" i="38" s="1"/>
  <c r="T15" i="40"/>
  <c r="M10" i="29"/>
  <c r="M16" i="59" s="1"/>
  <c r="Y18" i="70"/>
  <c r="Y26" i="70" s="1"/>
  <c r="G5" i="71" s="1"/>
  <c r="Y42" i="70"/>
  <c r="Y20" i="70" s="1"/>
  <c r="Y27" i="70" s="1"/>
  <c r="G6" i="71" s="1"/>
  <c r="Z18" i="70"/>
  <c r="Z26" i="70" s="1"/>
  <c r="H5" i="71" s="1"/>
  <c r="Z42" i="70"/>
  <c r="Z20" i="70" s="1"/>
  <c r="Z27" i="70" s="1"/>
  <c r="H6" i="71" s="1"/>
  <c r="L14" i="40"/>
  <c r="L17" i="40" s="1"/>
  <c r="T14" i="40"/>
  <c r="T16" i="40" s="1"/>
  <c r="J17" i="40"/>
  <c r="R17" i="40"/>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T4" i="21"/>
  <c r="S4" i="21"/>
  <c r="AC18" i="59" s="1"/>
  <c r="AC24" i="59" s="1"/>
  <c r="R4" i="21"/>
  <c r="E24" i="21"/>
  <c r="O42" i="30" s="1"/>
  <c r="C20" i="21"/>
  <c r="M38" i="30" s="1"/>
  <c r="E19" i="21"/>
  <c r="O37" i="30" s="1"/>
  <c r="D18" i="21"/>
  <c r="F9" i="21"/>
  <c r="I9" i="21"/>
  <c r="H9" i="21"/>
  <c r="G9" i="21"/>
  <c r="M5" i="21"/>
  <c r="W17" i="59" s="1"/>
  <c r="F15" i="35" s="1"/>
  <c r="G17" i="55" s="1"/>
  <c r="L5" i="21"/>
  <c r="V17" i="59" s="1"/>
  <c r="E15" i="35" s="1"/>
  <c r="F17" i="55" s="1"/>
  <c r="K5" i="21"/>
  <c r="U17" i="59" s="1"/>
  <c r="D15" i="35" s="1"/>
  <c r="E17" i="55" s="1"/>
  <c r="J5" i="21"/>
  <c r="E75" i="21" s="1"/>
  <c r="N9" i="21"/>
  <c r="Q9" i="21"/>
  <c r="P9" i="21"/>
  <c r="O9" i="21"/>
  <c r="U5" i="21"/>
  <c r="T5" i="21"/>
  <c r="S5" i="21"/>
  <c r="AC17" i="59" s="1"/>
  <c r="L15" i="35" s="1"/>
  <c r="M17" i="55" s="1"/>
  <c r="R5" i="21"/>
  <c r="J16" i="5"/>
  <c r="O3" i="21"/>
  <c r="W3" i="21" s="1"/>
  <c r="D6" i="21"/>
  <c r="D24" i="21" s="1"/>
  <c r="N42" i="30" s="1"/>
  <c r="C6" i="21"/>
  <c r="C23" i="21" s="1"/>
  <c r="M41" i="30" s="1"/>
  <c r="E81" i="21"/>
  <c r="G81" i="21"/>
  <c r="I65" i="38"/>
  <c r="I70" i="38" s="1"/>
  <c r="N14" i="40"/>
  <c r="N16" i="40" s="1"/>
  <c r="I10" i="21"/>
  <c r="S43" i="26" s="1"/>
  <c r="S17" i="26" s="1"/>
  <c r="G10" i="21"/>
  <c r="Q43" i="26" s="1"/>
  <c r="Q17" i="26" s="1"/>
  <c r="F10" i="21"/>
  <c r="M24" i="21"/>
  <c r="L23" i="21"/>
  <c r="V41" i="30" s="1"/>
  <c r="V24" i="30" s="1"/>
  <c r="K18" i="21"/>
  <c r="L6" i="21"/>
  <c r="L20" i="21" s="1"/>
  <c r="V38" i="30" s="1"/>
  <c r="L24" i="21"/>
  <c r="K23" i="21"/>
  <c r="U41" i="30" s="1"/>
  <c r="U24" i="30" s="1"/>
  <c r="U15" i="30" s="1"/>
  <c r="K20" i="21"/>
  <c r="U38" i="30" s="1"/>
  <c r="K24" i="21"/>
  <c r="J20" i="21"/>
  <c r="T38" i="30" s="1"/>
  <c r="J6" i="21"/>
  <c r="J18" i="21" s="1"/>
  <c r="J24" i="21"/>
  <c r="M18" i="21"/>
  <c r="M23" i="21"/>
  <c r="W41" i="30" s="1"/>
  <c r="W24" i="30" s="1"/>
  <c r="M20" i="21"/>
  <c r="W38" i="30" s="1"/>
  <c r="L18" i="21"/>
  <c r="M6" i="21"/>
  <c r="Q10" i="21"/>
  <c r="AA43" i="26" s="1"/>
  <c r="AA17" i="26" s="1"/>
  <c r="O10" i="21"/>
  <c r="Y43" i="26" s="1"/>
  <c r="Y17" i="26" s="1"/>
  <c r="N10" i="21"/>
  <c r="T6" i="21"/>
  <c r="R6" i="21"/>
  <c r="U6" i="21"/>
  <c r="E6" i="21"/>
  <c r="K6" i="21"/>
  <c r="H10" i="21"/>
  <c r="R43" i="26" s="1"/>
  <c r="R17" i="26" s="1"/>
  <c r="O14" i="40"/>
  <c r="O16" i="40" s="1"/>
  <c r="G12" i="21"/>
  <c r="I12" i="21"/>
  <c r="H12" i="21"/>
  <c r="M7" i="21"/>
  <c r="L7" i="21"/>
  <c r="W7" i="21" s="1"/>
  <c r="K7" i="21"/>
  <c r="J7" i="21"/>
  <c r="O12" i="21"/>
  <c r="Q12" i="21"/>
  <c r="P12" i="21"/>
  <c r="U7" i="21"/>
  <c r="T7" i="21"/>
  <c r="S7" i="21"/>
  <c r="R7" i="21"/>
  <c r="L16" i="5"/>
  <c r="Q3" i="21"/>
  <c r="V16" i="6"/>
  <c r="D11" i="21"/>
  <c r="C81" i="21" s="1"/>
  <c r="D9" i="21"/>
  <c r="D12" i="21"/>
  <c r="C82" i="21" s="1"/>
  <c r="D7" i="21"/>
  <c r="C77" i="21" s="1"/>
  <c r="D10" i="21"/>
  <c r="N43" i="26" s="1"/>
  <c r="D5" i="21"/>
  <c r="N17" i="59" s="1"/>
  <c r="G4" i="50" s="1"/>
  <c r="S6" i="21"/>
  <c r="AC45" i="30" s="1"/>
  <c r="L7" i="35" s="1"/>
  <c r="M9" i="55" s="1"/>
  <c r="P10" i="21"/>
  <c r="Z43" i="26" s="1"/>
  <c r="Z17" i="26" s="1"/>
  <c r="L56" i="38"/>
  <c r="K65" i="38"/>
  <c r="K70" i="38" s="1"/>
  <c r="D8" i="21"/>
  <c r="I13" i="21"/>
  <c r="I14" i="21" s="1"/>
  <c r="H13" i="21"/>
  <c r="H14" i="21" s="1"/>
  <c r="G13" i="21"/>
  <c r="G14" i="21" s="1"/>
  <c r="F13" i="21"/>
  <c r="E8" i="5"/>
  <c r="T51" i="21"/>
  <c r="T50" i="21"/>
  <c r="E12" i="21"/>
  <c r="E7" i="21"/>
  <c r="E10" i="21"/>
  <c r="O43" i="26" s="1"/>
  <c r="O17" i="26" s="1"/>
  <c r="E5" i="21"/>
  <c r="O17" i="59" s="1"/>
  <c r="H4" i="50" s="1"/>
  <c r="E11" i="21"/>
  <c r="Q14" i="40"/>
  <c r="Q15" i="40" s="1"/>
  <c r="C80" i="21"/>
  <c r="M19" i="21"/>
  <c r="W37" i="30" s="1"/>
  <c r="W20" i="30" s="1"/>
  <c r="W13" i="30" s="1"/>
  <c r="L19" i="21"/>
  <c r="V37" i="30" s="1"/>
  <c r="V20" i="30" s="1"/>
  <c r="K19" i="21"/>
  <c r="U37" i="30" s="1"/>
  <c r="J19" i="21"/>
  <c r="T37" i="30" s="1"/>
  <c r="L9" i="21"/>
  <c r="K9" i="21"/>
  <c r="J9" i="21"/>
  <c r="T9" i="21"/>
  <c r="S9" i="21"/>
  <c r="R9" i="21"/>
  <c r="F16" i="5"/>
  <c r="S3" i="21"/>
  <c r="R17" i="6"/>
  <c r="M4" i="21"/>
  <c r="W18" i="59" s="1"/>
  <c r="W24" i="59" s="1"/>
  <c r="H19" i="21"/>
  <c r="R37" i="30" s="1"/>
  <c r="I18" i="21"/>
  <c r="I23" i="21"/>
  <c r="S41" i="30" s="1"/>
  <c r="S24" i="30" s="1"/>
  <c r="S13" i="30" s="1"/>
  <c r="S12" i="30" s="1"/>
  <c r="I20" i="21"/>
  <c r="S38" i="30" s="1"/>
  <c r="H18" i="21"/>
  <c r="I6" i="21"/>
  <c r="I24" i="21"/>
  <c r="G18" i="21"/>
  <c r="H6" i="21"/>
  <c r="H24" i="21" s="1"/>
  <c r="G23" i="21"/>
  <c r="Q41" i="30" s="1"/>
  <c r="Q24" i="30" s="1"/>
  <c r="Q15" i="30" s="1"/>
  <c r="F18" i="21"/>
  <c r="G6" i="21"/>
  <c r="G20" i="21" s="1"/>
  <c r="Q38" i="30" s="1"/>
  <c r="G24" i="21"/>
  <c r="F20" i="21"/>
  <c r="P38" i="30" s="1"/>
  <c r="F6" i="21"/>
  <c r="F24" i="21"/>
  <c r="I19" i="21"/>
  <c r="S37" i="30" s="1"/>
  <c r="M10" i="21"/>
  <c r="W43" i="26" s="1"/>
  <c r="W17" i="26" s="1"/>
  <c r="L10" i="21"/>
  <c r="V43" i="26" s="1"/>
  <c r="V17" i="26" s="1"/>
  <c r="K10" i="21"/>
  <c r="U43" i="26" s="1"/>
  <c r="U17" i="26" s="1"/>
  <c r="J10" i="21"/>
  <c r="Q23" i="21"/>
  <c r="Q6" i="21"/>
  <c r="AA45" i="30" s="1"/>
  <c r="J7" i="35" s="1"/>
  <c r="K9" i="55" s="1"/>
  <c r="Q24" i="21"/>
  <c r="P6" i="21"/>
  <c r="Z45" i="30" s="1"/>
  <c r="I7" i="35" s="1"/>
  <c r="J9" i="55" s="1"/>
  <c r="O23" i="21"/>
  <c r="O6" i="21"/>
  <c r="Y45" i="30" s="1"/>
  <c r="H7" i="35" s="1"/>
  <c r="I9" i="55" s="1"/>
  <c r="O24" i="21"/>
  <c r="N6" i="21"/>
  <c r="N23" i="21" s="1"/>
  <c r="X41" i="30" s="1"/>
  <c r="X24" i="30" s="1"/>
  <c r="U10" i="21"/>
  <c r="T10" i="21"/>
  <c r="S10" i="21"/>
  <c r="AC43" i="26" s="1"/>
  <c r="AC17" i="26" s="1"/>
  <c r="R10" i="21"/>
  <c r="T3" i="21"/>
  <c r="S17" i="6"/>
  <c r="U4" i="21"/>
  <c r="F12" i="21"/>
  <c r="E5" i="5"/>
  <c r="E4" i="21" s="1"/>
  <c r="O18" i="59" s="1"/>
  <c r="O24" i="59" s="1"/>
  <c r="H5" i="50" s="1"/>
  <c r="G7" i="21"/>
  <c r="D77" i="21" s="1"/>
  <c r="I7" i="21"/>
  <c r="H7" i="21"/>
  <c r="M12" i="21"/>
  <c r="L12" i="21"/>
  <c r="K12" i="21"/>
  <c r="J12" i="21"/>
  <c r="O7" i="21"/>
  <c r="F77" i="21" s="1"/>
  <c r="Q7" i="21"/>
  <c r="P7" i="21"/>
  <c r="U12" i="21"/>
  <c r="T12" i="21"/>
  <c r="S12" i="21"/>
  <c r="R12" i="21"/>
  <c r="G82" i="21" s="1"/>
  <c r="H16" i="5"/>
  <c r="E9" i="21"/>
  <c r="N12" i="21"/>
  <c r="F82" i="21" s="1"/>
  <c r="T14" i="59" l="1"/>
  <c r="U20" i="25"/>
  <c r="U11" i="25" s="1"/>
  <c r="U19" i="25" s="1"/>
  <c r="D8" i="35" s="1"/>
  <c r="E10" i="55" s="1"/>
  <c r="C9" i="35"/>
  <c r="D11" i="55" s="1"/>
  <c r="D60" i="55"/>
  <c r="D56" i="59"/>
  <c r="D25" i="59" s="1"/>
  <c r="K30" i="73"/>
  <c r="M33" i="59"/>
  <c r="S33" i="59"/>
  <c r="J54" i="59"/>
  <c r="J55" i="59" s="1"/>
  <c r="Q54" i="59"/>
  <c r="Q55" i="59" s="1"/>
  <c r="I42" i="48"/>
  <c r="J38" i="48"/>
  <c r="J42" i="48" s="1"/>
  <c r="I44" i="48"/>
  <c r="J40" i="48"/>
  <c r="J44" i="48" s="1"/>
  <c r="I41" i="48"/>
  <c r="J39" i="48"/>
  <c r="J43" i="48" s="1"/>
  <c r="I43" i="48"/>
  <c r="O107" i="48"/>
  <c r="H44" i="48"/>
  <c r="R132" i="48"/>
  <c r="N123" i="48"/>
  <c r="G132" i="48"/>
  <c r="Q132" i="48"/>
  <c r="H109" i="48"/>
  <c r="O109" i="48"/>
  <c r="P123" i="48"/>
  <c r="J107" i="48"/>
  <c r="R123" i="48"/>
  <c r="D18" i="49"/>
  <c r="D19" i="49" s="1"/>
  <c r="D20" i="49" s="1"/>
  <c r="H28" i="49"/>
  <c r="D71" i="55"/>
  <c r="Q123" i="48"/>
  <c r="H123" i="48"/>
  <c r="O132" i="48"/>
  <c r="F123" i="48"/>
  <c r="S124" i="48"/>
  <c r="I123" i="48"/>
  <c r="M132" i="48"/>
  <c r="S123" i="48"/>
  <c r="J132" i="48"/>
  <c r="Q137" i="48"/>
  <c r="O124" i="48"/>
  <c r="G54" i="59"/>
  <c r="G55" i="59" s="1"/>
  <c r="G56" i="59"/>
  <c r="G25" i="59" s="1"/>
  <c r="H54" i="59"/>
  <c r="H55" i="59" s="1"/>
  <c r="H56" i="59"/>
  <c r="V10" i="33"/>
  <c r="U15" i="59"/>
  <c r="D12" i="35"/>
  <c r="E14" i="55" s="1"/>
  <c r="O29" i="62"/>
  <c r="Q29" i="62" s="1"/>
  <c r="Y12" i="49"/>
  <c r="Z12" i="49" s="1"/>
  <c r="AA12" i="49" s="1"/>
  <c r="AB12" i="49" s="1"/>
  <c r="AC12" i="49" s="1"/>
  <c r="E54" i="59"/>
  <c r="E55" i="59" s="1"/>
  <c r="E56" i="59"/>
  <c r="E25" i="59" s="1"/>
  <c r="T36" i="30"/>
  <c r="M46" i="38"/>
  <c r="M47" i="38" s="1"/>
  <c r="I54" i="59"/>
  <c r="I55" i="59" s="1"/>
  <c r="I56" i="59"/>
  <c r="O54" i="59"/>
  <c r="O55" i="59" s="1"/>
  <c r="C18" i="35"/>
  <c r="D20" i="55" s="1"/>
  <c r="V47" i="20"/>
  <c r="E3" i="35"/>
  <c r="F5" i="55" s="1"/>
  <c r="D61" i="55"/>
  <c r="D87" i="55"/>
  <c r="D82" i="21"/>
  <c r="N24" i="21"/>
  <c r="P23" i="21"/>
  <c r="I21" i="21"/>
  <c r="S45" i="30"/>
  <c r="F16" i="35"/>
  <c r="G18" i="55" s="1"/>
  <c r="R36" i="21"/>
  <c r="Q36" i="21"/>
  <c r="P36" i="21"/>
  <c r="O36" i="21"/>
  <c r="V36" i="21"/>
  <c r="N36" i="21"/>
  <c r="U36" i="21"/>
  <c r="M36" i="21"/>
  <c r="T36" i="21"/>
  <c r="L36" i="21"/>
  <c r="S36" i="21"/>
  <c r="K36" i="21"/>
  <c r="U41" i="26"/>
  <c r="N4" i="21"/>
  <c r="Q4" i="21"/>
  <c r="AA18" i="59" s="1"/>
  <c r="AA24" i="59" s="1"/>
  <c r="P4" i="21"/>
  <c r="Z18" i="59" s="1"/>
  <c r="Z24" i="59" s="1"/>
  <c r="O4" i="21"/>
  <c r="Y18" i="59" s="1"/>
  <c r="Y24" i="59" s="1"/>
  <c r="D4" i="21"/>
  <c r="N18" i="59" s="1"/>
  <c r="N24" i="59" s="1"/>
  <c r="G5" i="50" s="1"/>
  <c r="K21" i="21"/>
  <c r="U45" i="30"/>
  <c r="D7" i="35" s="1"/>
  <c r="E9" i="55" s="1"/>
  <c r="M21" i="21"/>
  <c r="W45" i="30"/>
  <c r="F7" i="35" s="1"/>
  <c r="G9" i="55" s="1"/>
  <c r="J23" i="21"/>
  <c r="T41" i="30" s="1"/>
  <c r="T24" i="30" s="1"/>
  <c r="G75" i="21"/>
  <c r="AB17" i="59"/>
  <c r="K15" i="35" s="1"/>
  <c r="L17" i="55" s="1"/>
  <c r="N19" i="21"/>
  <c r="P31" i="21"/>
  <c r="H31" i="21"/>
  <c r="O31" i="21"/>
  <c r="G31" i="21"/>
  <c r="V31" i="21"/>
  <c r="N31" i="21"/>
  <c r="F31" i="21"/>
  <c r="U31" i="21"/>
  <c r="M31" i="21"/>
  <c r="T31" i="21"/>
  <c r="L31" i="21"/>
  <c r="S31" i="21"/>
  <c r="K31" i="21"/>
  <c r="D79" i="21"/>
  <c r="R31" i="21"/>
  <c r="J31" i="21"/>
  <c r="Q31" i="21"/>
  <c r="I31" i="21"/>
  <c r="P41" i="26"/>
  <c r="C24" i="21"/>
  <c r="M42" i="30" s="1"/>
  <c r="N38" i="21"/>
  <c r="M38" i="21"/>
  <c r="E83" i="21"/>
  <c r="J14" i="21"/>
  <c r="C75" i="21"/>
  <c r="O17" i="40"/>
  <c r="L15" i="40"/>
  <c r="L137" i="48"/>
  <c r="W18" i="70"/>
  <c r="W26" i="70" s="1"/>
  <c r="E5" i="71" s="1"/>
  <c r="W42" i="70"/>
  <c r="W20" i="70" s="1"/>
  <c r="W27" i="70" s="1"/>
  <c r="E6" i="71" s="1"/>
  <c r="K93" i="55"/>
  <c r="K67" i="55"/>
  <c r="P48" i="38"/>
  <c r="J67" i="38"/>
  <c r="J70" i="38" s="1"/>
  <c r="N11" i="38"/>
  <c r="O15" i="40"/>
  <c r="K109" i="48"/>
  <c r="L132" i="48"/>
  <c r="L33" i="59"/>
  <c r="K124" i="48"/>
  <c r="R47" i="20"/>
  <c r="K9" i="50"/>
  <c r="K14" i="59"/>
  <c r="K54" i="59" s="1"/>
  <c r="K55" i="59" s="1"/>
  <c r="N14" i="59"/>
  <c r="I67" i="55"/>
  <c r="I93" i="55"/>
  <c r="R36" i="30"/>
  <c r="S29" i="21"/>
  <c r="K29" i="21"/>
  <c r="R29" i="21"/>
  <c r="J29" i="21"/>
  <c r="Q29" i="21"/>
  <c r="I29" i="21"/>
  <c r="I28" i="21" s="1"/>
  <c r="P29" i="21"/>
  <c r="H29" i="21"/>
  <c r="O29" i="21"/>
  <c r="G29" i="21"/>
  <c r="V29" i="21"/>
  <c r="N29" i="21"/>
  <c r="F29" i="21"/>
  <c r="F28" i="21" s="1"/>
  <c r="U29" i="21"/>
  <c r="M29" i="21"/>
  <c r="E29" i="21"/>
  <c r="T29" i="21"/>
  <c r="L29" i="21"/>
  <c r="D29" i="21"/>
  <c r="D28" i="21" s="1"/>
  <c r="N41" i="26"/>
  <c r="E21" i="21"/>
  <c r="O45" i="30"/>
  <c r="V36" i="30"/>
  <c r="M93" i="55"/>
  <c r="M67" i="55"/>
  <c r="N36" i="30"/>
  <c r="V38" i="21"/>
  <c r="U38" i="21"/>
  <c r="M15" i="21"/>
  <c r="W42" i="26"/>
  <c r="W39" i="26" s="1"/>
  <c r="R14" i="21"/>
  <c r="G83" i="21"/>
  <c r="W5" i="21"/>
  <c r="I59" i="48"/>
  <c r="I66" i="48" s="1"/>
  <c r="J30" i="59"/>
  <c r="J31" i="59" s="1"/>
  <c r="K33" i="59" s="1"/>
  <c r="J29" i="49"/>
  <c r="U42" i="59"/>
  <c r="T20" i="59"/>
  <c r="R137" i="48"/>
  <c r="U30" i="59"/>
  <c r="U28" i="49"/>
  <c r="V26" i="49"/>
  <c r="D11" i="35"/>
  <c r="W26" i="20"/>
  <c r="E5" i="35"/>
  <c r="F7" i="55" s="1"/>
  <c r="Z47" i="20"/>
  <c r="I3" i="35"/>
  <c r="J5" i="55" s="1"/>
  <c r="M19" i="25"/>
  <c r="M14" i="59" s="1"/>
  <c r="L54" i="59"/>
  <c r="L55" i="59" s="1"/>
  <c r="P36" i="30"/>
  <c r="T39" i="21"/>
  <c r="S39" i="21"/>
  <c r="R39" i="21"/>
  <c r="Q39" i="21"/>
  <c r="F79" i="21"/>
  <c r="P39" i="21"/>
  <c r="O39" i="21"/>
  <c r="V39" i="21"/>
  <c r="N39" i="21"/>
  <c r="U39" i="21"/>
  <c r="X41" i="26"/>
  <c r="E15" i="21"/>
  <c r="O42" i="26"/>
  <c r="L48" i="20"/>
  <c r="L49" i="20" s="1"/>
  <c r="E2" i="50"/>
  <c r="D83" i="21"/>
  <c r="F14" i="21"/>
  <c r="V51" i="21"/>
  <c r="V50" i="21"/>
  <c r="K85" i="55"/>
  <c r="K59" i="55"/>
  <c r="F21" i="21"/>
  <c r="D76" i="21"/>
  <c r="P45" i="30"/>
  <c r="G15" i="21"/>
  <c r="Q42" i="26"/>
  <c r="E93" i="55"/>
  <c r="E67" i="55"/>
  <c r="E20" i="21"/>
  <c r="O38" i="30" s="1"/>
  <c r="O38" i="21"/>
  <c r="G74" i="21"/>
  <c r="AB18" i="59"/>
  <c r="AB24" i="59" s="1"/>
  <c r="E74" i="21"/>
  <c r="T18" i="59"/>
  <c r="T24" i="59" s="1"/>
  <c r="T17" i="40"/>
  <c r="I137" i="48"/>
  <c r="I124" i="48"/>
  <c r="I60" i="48"/>
  <c r="I67" i="48" s="1"/>
  <c r="Q30" i="59"/>
  <c r="Q31" i="59" s="1"/>
  <c r="Q29" i="49"/>
  <c r="K123" i="48"/>
  <c r="F30" i="59"/>
  <c r="F31" i="59" s="1"/>
  <c r="F33" i="59" s="1"/>
  <c r="F29" i="49"/>
  <c r="S15" i="30"/>
  <c r="S47" i="20"/>
  <c r="L9" i="50"/>
  <c r="F14" i="59"/>
  <c r="H184" i="65"/>
  <c r="U85" i="26"/>
  <c r="J59" i="55"/>
  <c r="J85" i="55"/>
  <c r="S34" i="21"/>
  <c r="K34" i="21"/>
  <c r="R34" i="21"/>
  <c r="J34" i="21"/>
  <c r="Q34" i="21"/>
  <c r="I34" i="21"/>
  <c r="P34" i="21"/>
  <c r="O34" i="21"/>
  <c r="V34" i="21"/>
  <c r="N34" i="21"/>
  <c r="U34" i="21"/>
  <c r="M34" i="21"/>
  <c r="T34" i="21"/>
  <c r="L34" i="21"/>
  <c r="S41" i="26"/>
  <c r="S39" i="26" s="1"/>
  <c r="Q15" i="21"/>
  <c r="AA42" i="26"/>
  <c r="V14" i="40"/>
  <c r="K17" i="40"/>
  <c r="Q25" i="21"/>
  <c r="AA43" i="30" s="1"/>
  <c r="AA41" i="30"/>
  <c r="AA24" i="30" s="1"/>
  <c r="H21" i="21"/>
  <c r="R45" i="30"/>
  <c r="H15" i="21"/>
  <c r="R42" i="26"/>
  <c r="M85" i="55"/>
  <c r="M59" i="55"/>
  <c r="G76" i="21"/>
  <c r="AB45" i="30"/>
  <c r="K7" i="35" s="1"/>
  <c r="L9" i="55" s="1"/>
  <c r="D80" i="21"/>
  <c r="P43" i="26"/>
  <c r="P17" i="26" s="1"/>
  <c r="F93" i="55"/>
  <c r="F67" i="55"/>
  <c r="E23" i="21"/>
  <c r="O41" i="30" s="1"/>
  <c r="O24" i="30" s="1"/>
  <c r="P38" i="21"/>
  <c r="L16" i="35"/>
  <c r="M18" i="55" s="1"/>
  <c r="F83" i="21"/>
  <c r="N14" i="21"/>
  <c r="D16" i="35"/>
  <c r="E18" i="55" s="1"/>
  <c r="W11" i="21"/>
  <c r="S19" i="38"/>
  <c r="L18" i="38"/>
  <c r="N18" i="38" s="1"/>
  <c r="H61" i="48"/>
  <c r="H68" i="48" s="1"/>
  <c r="Q109" i="48"/>
  <c r="L124" i="48"/>
  <c r="I30" i="59"/>
  <c r="I31" i="59" s="1"/>
  <c r="I29" i="49"/>
  <c r="P12" i="33"/>
  <c r="S12" i="33"/>
  <c r="R12" i="33"/>
  <c r="Q12" i="33"/>
  <c r="W11" i="30"/>
  <c r="W46" i="30" s="1"/>
  <c r="F6" i="35" s="1"/>
  <c r="G8" i="55" s="1"/>
  <c r="E20" i="49"/>
  <c r="M8" i="50"/>
  <c r="D24" i="55"/>
  <c r="K48" i="20"/>
  <c r="K49" i="20" s="1"/>
  <c r="D2" i="50"/>
  <c r="AD16" i="26"/>
  <c r="AA47" i="20"/>
  <c r="J3" i="35"/>
  <c r="K5" i="55" s="1"/>
  <c r="T38" i="21"/>
  <c r="U51" i="21"/>
  <c r="U50" i="21"/>
  <c r="V17" i="6"/>
  <c r="G80" i="21"/>
  <c r="AB43" i="26"/>
  <c r="AB17" i="26" s="1"/>
  <c r="I59" i="55"/>
  <c r="I85" i="55"/>
  <c r="E80" i="21"/>
  <c r="T43" i="26"/>
  <c r="T17" i="26" s="1"/>
  <c r="F23" i="21"/>
  <c r="P41" i="30" s="1"/>
  <c r="P24" i="30" s="1"/>
  <c r="Q36" i="30"/>
  <c r="S36" i="30"/>
  <c r="R43" i="21"/>
  <c r="G79" i="21"/>
  <c r="V43" i="21"/>
  <c r="U43" i="21"/>
  <c r="T43" i="21"/>
  <c r="S43" i="21"/>
  <c r="AB41" i="26"/>
  <c r="V13" i="30"/>
  <c r="V11" i="30" s="1"/>
  <c r="V46" i="30" s="1"/>
  <c r="E6" i="35" s="1"/>
  <c r="F8" i="55" s="1"/>
  <c r="I15" i="21"/>
  <c r="S42" i="26"/>
  <c r="W36" i="30"/>
  <c r="W6" i="21"/>
  <c r="C76" i="21"/>
  <c r="C21" i="21"/>
  <c r="M39" i="30" s="1"/>
  <c r="M45" i="30"/>
  <c r="T40" i="21"/>
  <c r="S40" i="21"/>
  <c r="R40" i="21"/>
  <c r="Q40" i="21"/>
  <c r="P40" i="21"/>
  <c r="O40" i="21"/>
  <c r="V40" i="21"/>
  <c r="U40" i="21"/>
  <c r="Y41" i="26"/>
  <c r="G67" i="55"/>
  <c r="G93" i="55"/>
  <c r="E18" i="21"/>
  <c r="C18" i="21"/>
  <c r="Q38" i="21"/>
  <c r="E16" i="35"/>
  <c r="F18" i="55" s="1"/>
  <c r="D75" i="21"/>
  <c r="P17" i="59"/>
  <c r="I4" i="50" s="1"/>
  <c r="S26" i="38"/>
  <c r="M26" i="38" s="1"/>
  <c r="O26" i="38" s="1"/>
  <c r="M25" i="38"/>
  <c r="O25" i="38" s="1"/>
  <c r="L109" i="48"/>
  <c r="S31" i="38"/>
  <c r="O30" i="38"/>
  <c r="Q30" i="38" s="1"/>
  <c r="I109" i="48"/>
  <c r="N132" i="48"/>
  <c r="T123" i="48"/>
  <c r="U123" i="48" s="1"/>
  <c r="V123" i="48" s="1"/>
  <c r="W123" i="48" s="1"/>
  <c r="X123" i="48" s="1"/>
  <c r="Y123" i="48" s="1"/>
  <c r="Z123" i="48" s="1"/>
  <c r="AA123" i="48" s="1"/>
  <c r="AB123" i="48" s="1"/>
  <c r="AC123" i="48" s="1"/>
  <c r="AC24" i="48" s="1"/>
  <c r="S107" i="48"/>
  <c r="E33" i="59"/>
  <c r="H60" i="48"/>
  <c r="H67" i="48" s="1"/>
  <c r="J137" i="48"/>
  <c r="O30" i="59"/>
  <c r="O31" i="59" s="1"/>
  <c r="O33" i="59" s="1"/>
  <c r="O29" i="49"/>
  <c r="V126" i="48"/>
  <c r="U27" i="48"/>
  <c r="D22" i="35" s="1"/>
  <c r="E24" i="55" s="1"/>
  <c r="J79" i="26"/>
  <c r="I27" i="20"/>
  <c r="P25" i="20"/>
  <c r="T47" i="20"/>
  <c r="M9" i="50"/>
  <c r="C3" i="35"/>
  <c r="D5" i="55" s="1"/>
  <c r="R54" i="59"/>
  <c r="R55" i="59" s="1"/>
  <c r="C4" i="21"/>
  <c r="E16" i="5"/>
  <c r="V35" i="21"/>
  <c r="N35" i="21"/>
  <c r="U35" i="21"/>
  <c r="M35" i="21"/>
  <c r="T35" i="21"/>
  <c r="L35" i="21"/>
  <c r="S35" i="21"/>
  <c r="K35" i="21"/>
  <c r="R35" i="21"/>
  <c r="J35" i="21"/>
  <c r="E79" i="21"/>
  <c r="Q35" i="21"/>
  <c r="P35" i="21"/>
  <c r="O35" i="21"/>
  <c r="T41" i="26"/>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U36" i="30"/>
  <c r="Q30" i="21"/>
  <c r="I30" i="21"/>
  <c r="P30" i="21"/>
  <c r="H30" i="21"/>
  <c r="O30" i="21"/>
  <c r="G30" i="21"/>
  <c r="V30" i="21"/>
  <c r="N30" i="21"/>
  <c r="F30" i="21"/>
  <c r="U30" i="21"/>
  <c r="M30" i="21"/>
  <c r="E30" i="21"/>
  <c r="T30" i="21"/>
  <c r="L30" i="21"/>
  <c r="S30" i="21"/>
  <c r="K30" i="21"/>
  <c r="R30" i="21"/>
  <c r="J30" i="21"/>
  <c r="O41" i="26"/>
  <c r="O39" i="26" s="1"/>
  <c r="W12" i="21"/>
  <c r="O25" i="21"/>
  <c r="Y43" i="30" s="1"/>
  <c r="Y41" i="30"/>
  <c r="Y24" i="30" s="1"/>
  <c r="H20" i="21"/>
  <c r="R38" i="30" s="1"/>
  <c r="F19" i="21"/>
  <c r="P37" i="30" s="1"/>
  <c r="V44" i="21"/>
  <c r="U44" i="21"/>
  <c r="T44" i="21"/>
  <c r="S44" i="21"/>
  <c r="AC41" i="26"/>
  <c r="W9" i="21"/>
  <c r="N17" i="26"/>
  <c r="E77" i="21"/>
  <c r="C78" i="21"/>
  <c r="F80" i="21"/>
  <c r="X43" i="26"/>
  <c r="X17" i="26" s="1"/>
  <c r="D21" i="21"/>
  <c r="N45" i="30"/>
  <c r="U41" i="21"/>
  <c r="T41" i="21"/>
  <c r="S41" i="21"/>
  <c r="R41" i="21"/>
  <c r="Q41" i="21"/>
  <c r="P41" i="21"/>
  <c r="V41" i="21"/>
  <c r="Z41" i="26"/>
  <c r="P32" i="21"/>
  <c r="H32" i="21"/>
  <c r="O32" i="21"/>
  <c r="G32" i="21"/>
  <c r="V32" i="21"/>
  <c r="N32" i="21"/>
  <c r="U32" i="21"/>
  <c r="M32" i="21"/>
  <c r="T32" i="21"/>
  <c r="L32" i="21"/>
  <c r="S32" i="21"/>
  <c r="K32" i="21"/>
  <c r="R32" i="21"/>
  <c r="J32" i="21"/>
  <c r="Q32" i="21"/>
  <c r="I32" i="21"/>
  <c r="Q41" i="26"/>
  <c r="C19" i="21"/>
  <c r="M37" i="30" s="1"/>
  <c r="D20" i="21"/>
  <c r="N38" i="30" s="1"/>
  <c r="R38" i="21"/>
  <c r="K15" i="21"/>
  <c r="U42" i="26"/>
  <c r="O15" i="21"/>
  <c r="Y42" i="26"/>
  <c r="C14" i="21"/>
  <c r="C83" i="21"/>
  <c r="W13" i="21"/>
  <c r="N17" i="40"/>
  <c r="K15" i="40"/>
  <c r="D74" i="21"/>
  <c r="P18" i="59"/>
  <c r="P24" i="59" s="1"/>
  <c r="I5" i="50" s="1"/>
  <c r="K66" i="38"/>
  <c r="J67" i="55"/>
  <c r="J93" i="55"/>
  <c r="I69" i="38"/>
  <c r="I66" i="38"/>
  <c r="Q17" i="40"/>
  <c r="P124" i="48"/>
  <c r="Z145" i="48"/>
  <c r="AA145" i="48" s="1"/>
  <c r="AB145" i="48" s="1"/>
  <c r="AC145" i="48" s="1"/>
  <c r="S16" i="40"/>
  <c r="M123" i="48"/>
  <c r="L123" i="48"/>
  <c r="K107" i="48"/>
  <c r="AA124" i="48"/>
  <c r="Z25" i="48"/>
  <c r="P29" i="49"/>
  <c r="P30" i="59"/>
  <c r="P31" i="59" s="1"/>
  <c r="V15" i="30"/>
  <c r="Q124" i="48"/>
  <c r="Q13" i="30"/>
  <c r="Q12" i="30" s="1"/>
  <c r="M34" i="26"/>
  <c r="Y17" i="30"/>
  <c r="N33" i="59"/>
  <c r="U11" i="30"/>
  <c r="U46" i="30" s="1"/>
  <c r="D6" i="35" s="1"/>
  <c r="E8" i="55" s="1"/>
  <c r="AB47" i="20"/>
  <c r="K3" i="35"/>
  <c r="L5" i="55" s="1"/>
  <c r="W12" i="25"/>
  <c r="V14" i="25"/>
  <c r="V13" i="25" s="1"/>
  <c r="G55" i="55"/>
  <c r="G81" i="55"/>
  <c r="L15" i="21"/>
  <c r="V42" i="26"/>
  <c r="Y11" i="20"/>
  <c r="G4" i="35"/>
  <c r="H6" i="55" s="1"/>
  <c r="F76" i="21"/>
  <c r="X45" i="30"/>
  <c r="G7" i="35" s="1"/>
  <c r="H9" i="55" s="1"/>
  <c r="O37" i="21"/>
  <c r="V37" i="21"/>
  <c r="N37" i="21"/>
  <c r="U37" i="21"/>
  <c r="M37" i="21"/>
  <c r="T37" i="21"/>
  <c r="L37" i="21"/>
  <c r="S37" i="21"/>
  <c r="R37" i="21"/>
  <c r="Q37" i="21"/>
  <c r="P37" i="21"/>
  <c r="V41" i="26"/>
  <c r="E82" i="21"/>
  <c r="P24" i="21"/>
  <c r="G21" i="21"/>
  <c r="Q45" i="30"/>
  <c r="H23" i="21"/>
  <c r="R41" i="30" s="1"/>
  <c r="R24" i="30" s="1"/>
  <c r="G19" i="21"/>
  <c r="Q37" i="30" s="1"/>
  <c r="W10" i="21"/>
  <c r="C79" i="21"/>
  <c r="G77" i="21"/>
  <c r="E76" i="21"/>
  <c r="J21" i="21"/>
  <c r="T45" i="30"/>
  <c r="L21" i="21"/>
  <c r="V45" i="30"/>
  <c r="E7" i="35" s="1"/>
  <c r="F9" i="55" s="1"/>
  <c r="V42" i="21"/>
  <c r="U42" i="21"/>
  <c r="T42" i="21"/>
  <c r="S42" i="21"/>
  <c r="R42" i="21"/>
  <c r="Q42" i="21"/>
  <c r="AA41" i="26"/>
  <c r="Q33" i="21"/>
  <c r="I33" i="21"/>
  <c r="P33" i="21"/>
  <c r="H33" i="21"/>
  <c r="O33" i="21"/>
  <c r="V33" i="21"/>
  <c r="N33" i="21"/>
  <c r="U33" i="21"/>
  <c r="M33" i="21"/>
  <c r="T33" i="21"/>
  <c r="L33" i="21"/>
  <c r="S33" i="21"/>
  <c r="K33" i="21"/>
  <c r="R33" i="21"/>
  <c r="J33" i="21"/>
  <c r="R41" i="26"/>
  <c r="R39" i="26" s="1"/>
  <c r="D19" i="21"/>
  <c r="N37" i="30" s="1"/>
  <c r="D23" i="21"/>
  <c r="N41" i="30" s="1"/>
  <c r="S38" i="21"/>
  <c r="S15" i="21"/>
  <c r="AC42" i="26"/>
  <c r="P15" i="21"/>
  <c r="Z42" i="26"/>
  <c r="D15" i="21"/>
  <c r="N42" i="26"/>
  <c r="Q16" i="40"/>
  <c r="AE18" i="70"/>
  <c r="AE26" i="70" s="1"/>
  <c r="AE42" i="70"/>
  <c r="AE20" i="70" s="1"/>
  <c r="AE27" i="70" s="1"/>
  <c r="F75" i="21"/>
  <c r="X17" i="59"/>
  <c r="G15" i="35" s="1"/>
  <c r="H17" i="55" s="1"/>
  <c r="I61" i="48"/>
  <c r="I68" i="48" s="1"/>
  <c r="N21" i="38"/>
  <c r="H124" i="48"/>
  <c r="K16" i="40"/>
  <c r="T42" i="38"/>
  <c r="P41" i="38"/>
  <c r="R41" i="38" s="1"/>
  <c r="P109" i="48"/>
  <c r="AA125" i="48"/>
  <c r="Z26" i="48"/>
  <c r="H29" i="49"/>
  <c r="H30" i="59"/>
  <c r="H31" i="59" s="1"/>
  <c r="I58" i="48"/>
  <c r="I65" i="48" s="1"/>
  <c r="G30" i="59"/>
  <c r="G31" i="59" s="1"/>
  <c r="G29" i="49"/>
  <c r="E86" i="55"/>
  <c r="E60" i="55"/>
  <c r="U14" i="59"/>
  <c r="D9" i="35"/>
  <c r="K33" i="73" s="1"/>
  <c r="V20" i="25"/>
  <c r="S19" i="25"/>
  <c r="S14" i="59" s="1"/>
  <c r="S54" i="59" s="1"/>
  <c r="S55" i="59" s="1"/>
  <c r="V11" i="25" l="1"/>
  <c r="V19" i="25" s="1"/>
  <c r="E8" i="35" s="1"/>
  <c r="F10" i="55" s="1"/>
  <c r="F86" i="55" s="1"/>
  <c r="H25" i="59"/>
  <c r="U58" i="59"/>
  <c r="D64" i="59"/>
  <c r="D23" i="59" s="1"/>
  <c r="D27" i="59" s="1"/>
  <c r="E64" i="59"/>
  <c r="E23" i="59" s="1"/>
  <c r="E27" i="59" s="1"/>
  <c r="G33" i="59"/>
  <c r="Q33" i="59"/>
  <c r="H64" i="59"/>
  <c r="H23" i="59" s="1"/>
  <c r="H27" i="59" s="1"/>
  <c r="V24" i="48"/>
  <c r="V22" i="48" s="1"/>
  <c r="E20" i="35" s="1"/>
  <c r="F22" i="55" s="1"/>
  <c r="G18" i="49"/>
  <c r="G19" i="49" s="1"/>
  <c r="G20" i="49" s="1"/>
  <c r="H33" i="59"/>
  <c r="U24" i="48"/>
  <c r="U22" i="48" s="1"/>
  <c r="D20" i="35" s="1"/>
  <c r="E22" i="55" s="1"/>
  <c r="E98" i="55" s="1"/>
  <c r="F84" i="55"/>
  <c r="F58" i="55"/>
  <c r="F60" i="55"/>
  <c r="R15" i="30"/>
  <c r="R13" i="30"/>
  <c r="R12" i="30" s="1"/>
  <c r="F81" i="55"/>
  <c r="F55" i="55"/>
  <c r="J6" i="50"/>
  <c r="Q46" i="30"/>
  <c r="AB124" i="48"/>
  <c r="AA25" i="48"/>
  <c r="F68" i="55"/>
  <c r="F94" i="55"/>
  <c r="N15" i="21"/>
  <c r="F85" i="21" s="1"/>
  <c r="F84" i="21"/>
  <c r="X42" i="26"/>
  <c r="G22" i="21"/>
  <c r="Q40" i="30" s="1"/>
  <c r="Q39" i="30"/>
  <c r="F98" i="55"/>
  <c r="F72" i="55"/>
  <c r="X26" i="20"/>
  <c r="F5" i="35"/>
  <c r="G7" i="55" s="1"/>
  <c r="AD41" i="26"/>
  <c r="AE13" i="26" s="1"/>
  <c r="N39" i="26"/>
  <c r="N28" i="21"/>
  <c r="X87" i="26" s="1"/>
  <c r="J28" i="21"/>
  <c r="D96" i="55"/>
  <c r="D70" i="55"/>
  <c r="L81" i="55"/>
  <c r="L55" i="55"/>
  <c r="X13" i="26"/>
  <c r="X39" i="26"/>
  <c r="U28" i="21"/>
  <c r="T43" i="38"/>
  <c r="P42" i="38"/>
  <c r="Q89" i="26"/>
  <c r="F15" i="21"/>
  <c r="D85" i="21" s="1"/>
  <c r="D84" i="21"/>
  <c r="D87" i="21" s="1"/>
  <c r="P42" i="26"/>
  <c r="T54" i="59"/>
  <c r="T55" i="59" s="1"/>
  <c r="S32" i="38"/>
  <c r="O31" i="38"/>
  <c r="Q31" i="38" s="1"/>
  <c r="M68" i="55"/>
  <c r="M94" i="55"/>
  <c r="L85" i="55"/>
  <c r="L59" i="55"/>
  <c r="W24" i="48"/>
  <c r="W22" i="48" s="1"/>
  <c r="F20" i="35" s="1"/>
  <c r="G22" i="55" s="1"/>
  <c r="V28" i="21"/>
  <c r="R28" i="21"/>
  <c r="AB87" i="26" s="1"/>
  <c r="N54" i="59"/>
  <c r="N55" i="59" s="1"/>
  <c r="T13" i="30"/>
  <c r="T12" i="30" s="1"/>
  <c r="T15" i="30"/>
  <c r="H16" i="35"/>
  <c r="I18" i="55" s="1"/>
  <c r="E22" i="21"/>
  <c r="O40" i="30" s="1"/>
  <c r="O39" i="30"/>
  <c r="E84" i="21"/>
  <c r="J15" i="21"/>
  <c r="E85" i="21" s="1"/>
  <c r="T42" i="26"/>
  <c r="T39" i="26" s="1"/>
  <c r="N25" i="21"/>
  <c r="X43" i="30" s="1"/>
  <c r="X37" i="30"/>
  <c r="X20" i="30" s="1"/>
  <c r="J58" i="48"/>
  <c r="J65" i="48" s="1"/>
  <c r="K37" i="48"/>
  <c r="U11" i="48"/>
  <c r="F6" i="50"/>
  <c r="M46" i="30"/>
  <c r="Q28" i="21"/>
  <c r="AA87" i="26" s="1"/>
  <c r="L93" i="55"/>
  <c r="L67" i="55"/>
  <c r="E58" i="55"/>
  <c r="E84" i="55"/>
  <c r="F87" i="21"/>
  <c r="K16" i="35"/>
  <c r="L18" i="55" s="1"/>
  <c r="H56" i="55"/>
  <c r="H82" i="55"/>
  <c r="Y15" i="30"/>
  <c r="Y13" i="30"/>
  <c r="Y11" i="30" s="1"/>
  <c r="Y46" i="30" s="1"/>
  <c r="H6" i="35" s="1"/>
  <c r="I8" i="55" s="1"/>
  <c r="Z17" i="30"/>
  <c r="C15" i="21"/>
  <c r="C84" i="21"/>
  <c r="W14" i="21"/>
  <c r="Q39" i="26"/>
  <c r="AD43" i="26"/>
  <c r="AE16" i="26" s="1"/>
  <c r="U52" i="21"/>
  <c r="M52" i="21"/>
  <c r="T52" i="21"/>
  <c r="T47" i="21" s="1"/>
  <c r="L52" i="21"/>
  <c r="L47" i="21" s="1"/>
  <c r="V89" i="26" s="1"/>
  <c r="S52" i="21"/>
  <c r="S47" i="21" s="1"/>
  <c r="AC89" i="26" s="1"/>
  <c r="K52" i="21"/>
  <c r="D78" i="21"/>
  <c r="R52" i="21"/>
  <c r="J52" i="21"/>
  <c r="Q52" i="21"/>
  <c r="Q47" i="21" s="1"/>
  <c r="AA89" i="26" s="1"/>
  <c r="I52" i="21"/>
  <c r="P52" i="21"/>
  <c r="P47" i="21" s="1"/>
  <c r="Z89" i="26" s="1"/>
  <c r="H52" i="21"/>
  <c r="O52" i="21"/>
  <c r="O47" i="21" s="1"/>
  <c r="Y89" i="26" s="1"/>
  <c r="V52" i="21"/>
  <c r="V47" i="21" s="1"/>
  <c r="N52" i="21"/>
  <c r="N47" i="21" s="1"/>
  <c r="X89" i="26" s="1"/>
  <c r="C74" i="21"/>
  <c r="W4" i="21"/>
  <c r="M18" i="59"/>
  <c r="M24" i="59" s="1"/>
  <c r="F5" i="50" s="1"/>
  <c r="J48" i="20"/>
  <c r="J49" i="20" s="1"/>
  <c r="C2" i="50"/>
  <c r="C25" i="21"/>
  <c r="M43" i="30" s="1"/>
  <c r="M36" i="30"/>
  <c r="G25" i="21"/>
  <c r="X24" i="48"/>
  <c r="X22" i="48" s="1"/>
  <c r="G20" i="35" s="1"/>
  <c r="H22" i="55" s="1"/>
  <c r="F22" i="21"/>
  <c r="P40" i="30" s="1"/>
  <c r="P39" i="30"/>
  <c r="F25" i="21"/>
  <c r="O32" i="62"/>
  <c r="Q32" i="62" s="1"/>
  <c r="E13" i="55"/>
  <c r="V42" i="59"/>
  <c r="U20" i="59"/>
  <c r="G84" i="21"/>
  <c r="G87" i="21" s="1"/>
  <c r="R15" i="21"/>
  <c r="G85" i="21" s="1"/>
  <c r="AB42" i="26"/>
  <c r="L28" i="21"/>
  <c r="V87" i="26" s="1"/>
  <c r="G28" i="21"/>
  <c r="K28" i="21"/>
  <c r="U87" i="26" s="1"/>
  <c r="G59" i="55"/>
  <c r="G85" i="55"/>
  <c r="I16" i="35"/>
  <c r="J18" i="55" s="1"/>
  <c r="G68" i="55"/>
  <c r="G94" i="55"/>
  <c r="E72" i="55"/>
  <c r="K22" i="21"/>
  <c r="U40" i="30" s="1"/>
  <c r="U39" i="30"/>
  <c r="I71" i="38"/>
  <c r="I73" i="38"/>
  <c r="K81" i="55"/>
  <c r="K55" i="55"/>
  <c r="K6" i="50"/>
  <c r="R46" i="30"/>
  <c r="I47" i="21"/>
  <c r="S89" i="26" s="1"/>
  <c r="H22" i="21"/>
  <c r="R40" i="30" s="1"/>
  <c r="R39" i="30"/>
  <c r="P46" i="30"/>
  <c r="I6" i="50"/>
  <c r="J61" i="48"/>
  <c r="J68" i="48" s="1"/>
  <c r="T19" i="48"/>
  <c r="T18" i="48" s="1"/>
  <c r="K40" i="48"/>
  <c r="K73" i="38"/>
  <c r="K71" i="38"/>
  <c r="Z13" i="26"/>
  <c r="Z39" i="26"/>
  <c r="G6" i="50"/>
  <c r="N46" i="30"/>
  <c r="AD17" i="26"/>
  <c r="J47" i="21"/>
  <c r="T89" i="26" s="1"/>
  <c r="M47" i="21"/>
  <c r="W89" i="26" s="1"/>
  <c r="E100" i="55"/>
  <c r="E74" i="55"/>
  <c r="E25" i="21"/>
  <c r="O36" i="30"/>
  <c r="P15" i="30"/>
  <c r="P13" i="30"/>
  <c r="P12" i="30" s="1"/>
  <c r="K12" i="20"/>
  <c r="K27" i="20"/>
  <c r="S20" i="38"/>
  <c r="L20" i="38" s="1"/>
  <c r="N20" i="38" s="1"/>
  <c r="L19" i="38"/>
  <c r="N19" i="38" s="1"/>
  <c r="N46" i="38" s="1"/>
  <c r="N47" i="38" s="1"/>
  <c r="Y24" i="48"/>
  <c r="Y22" i="48" s="1"/>
  <c r="H20" i="35" s="1"/>
  <c r="I22" i="55" s="1"/>
  <c r="I184" i="65"/>
  <c r="W85" i="26" s="1"/>
  <c r="V85" i="26"/>
  <c r="L27" i="20"/>
  <c r="L12" i="20"/>
  <c r="V30" i="59"/>
  <c r="V28" i="49"/>
  <c r="W26" i="49"/>
  <c r="E11" i="35"/>
  <c r="F13" i="55" s="1"/>
  <c r="T28" i="21"/>
  <c r="O28" i="21"/>
  <c r="Y87" i="26" s="1"/>
  <c r="S28" i="21"/>
  <c r="AC87" i="26" s="1"/>
  <c r="L46" i="38"/>
  <c r="L47" i="38" s="1"/>
  <c r="P39" i="26"/>
  <c r="M22" i="21"/>
  <c r="W39" i="30"/>
  <c r="J16" i="35"/>
  <c r="K18" i="55" s="1"/>
  <c r="H67" i="55"/>
  <c r="H93" i="55"/>
  <c r="M6" i="50"/>
  <c r="C7" i="35"/>
  <c r="D9" i="55" s="1"/>
  <c r="T46" i="30"/>
  <c r="C6" i="35" s="1"/>
  <c r="D8" i="55" s="1"/>
  <c r="H47" i="21"/>
  <c r="R89" i="26" s="1"/>
  <c r="Y39" i="26"/>
  <c r="Y13" i="26"/>
  <c r="C16" i="35"/>
  <c r="D18" i="55" s="1"/>
  <c r="M5" i="50"/>
  <c r="I22" i="21"/>
  <c r="S40" i="30" s="1"/>
  <c r="S39" i="30"/>
  <c r="U16" i="48"/>
  <c r="J60" i="48"/>
  <c r="J67" i="48" s="1"/>
  <c r="K39" i="48"/>
  <c r="F57" i="55"/>
  <c r="F83" i="55"/>
  <c r="E87" i="21"/>
  <c r="P25" i="21"/>
  <c r="Z43" i="30" s="1"/>
  <c r="Z41" i="30"/>
  <c r="Z24" i="30" s="1"/>
  <c r="H59" i="55"/>
  <c r="H85" i="55"/>
  <c r="AB13" i="26"/>
  <c r="AB39" i="26"/>
  <c r="Z11" i="20"/>
  <c r="H4" i="35"/>
  <c r="I6" i="55" s="1"/>
  <c r="AA39" i="26"/>
  <c r="AA13" i="26"/>
  <c r="L22" i="21"/>
  <c r="V40" i="30" s="1"/>
  <c r="V39" i="30"/>
  <c r="V39" i="26"/>
  <c r="V13" i="26"/>
  <c r="X12" i="25"/>
  <c r="W14" i="25"/>
  <c r="W13" i="25" s="1"/>
  <c r="P33" i="59"/>
  <c r="D22" i="21"/>
  <c r="N40" i="30" s="1"/>
  <c r="N39" i="30"/>
  <c r="R47" i="21"/>
  <c r="AB89" i="26" s="1"/>
  <c r="U47" i="21"/>
  <c r="W126" i="48"/>
  <c r="V27" i="48"/>
  <c r="E22" i="35" s="1"/>
  <c r="F24" i="55" s="1"/>
  <c r="D100" i="55"/>
  <c r="D74" i="55"/>
  <c r="O13" i="30"/>
  <c r="O12" i="30" s="1"/>
  <c r="O15" i="30"/>
  <c r="AA24" i="48"/>
  <c r="Z24" i="48"/>
  <c r="Z22" i="48" s="1"/>
  <c r="I20" i="35" s="1"/>
  <c r="J22" i="55" s="1"/>
  <c r="F54" i="59"/>
  <c r="F55" i="59" s="1"/>
  <c r="F56" i="59"/>
  <c r="F25" i="59" s="1"/>
  <c r="U10" i="26"/>
  <c r="D10" i="35"/>
  <c r="E12" i="55" s="1"/>
  <c r="J33" i="59"/>
  <c r="L25" i="21"/>
  <c r="E28" i="21"/>
  <c r="H28" i="21"/>
  <c r="J69" i="38"/>
  <c r="J66" i="38"/>
  <c r="F74" i="21"/>
  <c r="X18" i="59"/>
  <c r="X24" i="59" s="1"/>
  <c r="L6" i="50"/>
  <c r="S46" i="30"/>
  <c r="J56" i="59"/>
  <c r="I25" i="59"/>
  <c r="P54" i="59"/>
  <c r="P55" i="59" s="1"/>
  <c r="J22" i="21"/>
  <c r="T40" i="30" s="1"/>
  <c r="T39" i="30"/>
  <c r="G84" i="55"/>
  <c r="G58" i="55"/>
  <c r="J59" i="48"/>
  <c r="J66" i="48" s="1"/>
  <c r="K38" i="48"/>
  <c r="U13" i="48"/>
  <c r="AD42" i="26"/>
  <c r="AE14" i="26" s="1"/>
  <c r="F85" i="55"/>
  <c r="F59" i="55"/>
  <c r="V14" i="59"/>
  <c r="E9" i="35"/>
  <c r="F11" i="55" s="1"/>
  <c r="W20" i="25"/>
  <c r="AB125" i="48"/>
  <c r="AA26" i="48"/>
  <c r="O33" i="62"/>
  <c r="Q33" i="62" s="1"/>
  <c r="E11" i="55"/>
  <c r="R33" i="59"/>
  <c r="M33" i="26"/>
  <c r="N34" i="26"/>
  <c r="M15" i="26"/>
  <c r="M82" i="26"/>
  <c r="AC13" i="26"/>
  <c r="AC39" i="26"/>
  <c r="K25" i="21"/>
  <c r="K47" i="21"/>
  <c r="U89" i="26" s="1"/>
  <c r="D81" i="55"/>
  <c r="D55" i="55"/>
  <c r="I33" i="59"/>
  <c r="E94" i="55"/>
  <c r="E68" i="55"/>
  <c r="AB24" i="48"/>
  <c r="J55" i="55"/>
  <c r="J81" i="55"/>
  <c r="U29" i="49"/>
  <c r="H6" i="50"/>
  <c r="O46" i="30"/>
  <c r="M28" i="21"/>
  <c r="W87" i="26" s="1"/>
  <c r="P28" i="21"/>
  <c r="Z87" i="26" s="1"/>
  <c r="H25" i="21"/>
  <c r="E85" i="55"/>
  <c r="E59" i="55"/>
  <c r="U13" i="26"/>
  <c r="U39" i="26"/>
  <c r="I64" i="59"/>
  <c r="I23" i="59" s="1"/>
  <c r="E90" i="55"/>
  <c r="E64" i="55"/>
  <c r="W8" i="21"/>
  <c r="W10" i="33"/>
  <c r="V15" i="59"/>
  <c r="E12" i="35"/>
  <c r="F14" i="55" s="1"/>
  <c r="G64" i="59"/>
  <c r="G23" i="59" s="1"/>
  <c r="G27" i="59" s="1"/>
  <c r="U57" i="59" l="1"/>
  <c r="V58" i="59"/>
  <c r="W11" i="25"/>
  <c r="W19" i="25" s="1"/>
  <c r="F8" i="35" s="1"/>
  <c r="G10" i="55" s="1"/>
  <c r="U31" i="59"/>
  <c r="D18" i="35" s="1"/>
  <c r="E20" i="55" s="1"/>
  <c r="F64" i="59"/>
  <c r="F23" i="59" s="1"/>
  <c r="F27" i="59" s="1"/>
  <c r="G60" i="55"/>
  <c r="G86" i="55"/>
  <c r="E61" i="55"/>
  <c r="E87" i="55"/>
  <c r="J71" i="38"/>
  <c r="J73" i="38"/>
  <c r="D85" i="55"/>
  <c r="D59" i="55"/>
  <c r="W40" i="30"/>
  <c r="M25" i="21"/>
  <c r="E10" i="35"/>
  <c r="F12" i="55" s="1"/>
  <c r="V10" i="26"/>
  <c r="I98" i="55"/>
  <c r="I72" i="55"/>
  <c r="O43" i="30"/>
  <c r="E26" i="21"/>
  <c r="E89" i="55"/>
  <c r="E63" i="55"/>
  <c r="X15" i="30"/>
  <c r="X13" i="30"/>
  <c r="X11" i="30" s="1"/>
  <c r="X46" i="30" s="1"/>
  <c r="G6" i="35" s="1"/>
  <c r="H8" i="55" s="1"/>
  <c r="G98" i="55"/>
  <c r="G72" i="55"/>
  <c r="F100" i="55"/>
  <c r="F74" i="55"/>
  <c r="V29" i="49"/>
  <c r="L94" i="55"/>
  <c r="L68" i="55"/>
  <c r="W47" i="21"/>
  <c r="V13" i="48"/>
  <c r="W13" i="48" s="1"/>
  <c r="O48" i="62"/>
  <c r="Q48" i="62" s="1"/>
  <c r="I27" i="59"/>
  <c r="X126" i="48"/>
  <c r="W27" i="48"/>
  <c r="F22" i="35" s="1"/>
  <c r="G24" i="55" s="1"/>
  <c r="Y12" i="25"/>
  <c r="X14" i="25"/>
  <c r="X13" i="25" s="1"/>
  <c r="X11" i="25" s="1"/>
  <c r="X19" i="25" s="1"/>
  <c r="G8" i="35" s="1"/>
  <c r="H10" i="55" s="1"/>
  <c r="I82" i="55"/>
  <c r="I56" i="55"/>
  <c r="J94" i="55"/>
  <c r="J68" i="55"/>
  <c r="P43" i="30"/>
  <c r="F26" i="21"/>
  <c r="J27" i="20"/>
  <c r="J12" i="20"/>
  <c r="AD39" i="26"/>
  <c r="F64" i="55"/>
  <c r="F90" i="55"/>
  <c r="AC125" i="48"/>
  <c r="AC26" i="48" s="1"/>
  <c r="AB26" i="48"/>
  <c r="J98" i="55"/>
  <c r="J72" i="55"/>
  <c r="AA11" i="20"/>
  <c r="I4" i="35"/>
  <c r="J6" i="55" s="1"/>
  <c r="D94" i="55"/>
  <c r="D68" i="55"/>
  <c r="C85" i="21"/>
  <c r="C87" i="21" s="1"/>
  <c r="W15" i="21"/>
  <c r="AC124" i="48"/>
  <c r="AC25" i="48" s="1"/>
  <c r="AB25" i="48"/>
  <c r="D53" i="26"/>
  <c r="M20" i="26"/>
  <c r="M84" i="26" s="1"/>
  <c r="M79" i="26" s="1"/>
  <c r="AA22" i="48"/>
  <c r="J20" i="35" s="1"/>
  <c r="K22" i="55" s="1"/>
  <c r="Z13" i="30"/>
  <c r="Z11" i="30" s="1"/>
  <c r="Z46" i="30" s="1"/>
  <c r="I6" i="35" s="1"/>
  <c r="J8" i="55" s="1"/>
  <c r="AA17" i="30"/>
  <c r="Z15" i="30"/>
  <c r="D25" i="21"/>
  <c r="K56" i="59"/>
  <c r="J25" i="59"/>
  <c r="J64" i="59"/>
  <c r="J23" i="59" s="1"/>
  <c r="X10" i="33"/>
  <c r="W15" i="59"/>
  <c r="F12" i="35"/>
  <c r="G14" i="55" s="1"/>
  <c r="F72" i="59"/>
  <c r="F73" i="59" s="1"/>
  <c r="G19" i="33"/>
  <c r="F75" i="59"/>
  <c r="F61" i="55"/>
  <c r="F87" i="55"/>
  <c r="K43" i="48"/>
  <c r="K60" i="48"/>
  <c r="K67" i="48" s="1"/>
  <c r="L39" i="48"/>
  <c r="K94" i="55"/>
  <c r="K68" i="55"/>
  <c r="K61" i="48"/>
  <c r="K68" i="48" s="1"/>
  <c r="K44" i="48"/>
  <c r="L40" i="48"/>
  <c r="H98" i="55"/>
  <c r="H72" i="55"/>
  <c r="I58" i="55"/>
  <c r="I84" i="55"/>
  <c r="U10" i="48"/>
  <c r="V11" i="48"/>
  <c r="G83" i="55"/>
  <c r="G57" i="55"/>
  <c r="J25" i="21"/>
  <c r="N33" i="26"/>
  <c r="O34" i="26"/>
  <c r="N15" i="26"/>
  <c r="N20" i="26" s="1"/>
  <c r="N84" i="26" s="1"/>
  <c r="N82" i="26"/>
  <c r="N79" i="26" s="1"/>
  <c r="AD13" i="26"/>
  <c r="W14" i="59"/>
  <c r="X20" i="25"/>
  <c r="F9" i="35"/>
  <c r="G11" i="55" s="1"/>
  <c r="U43" i="30"/>
  <c r="K26" i="21"/>
  <c r="G16" i="35"/>
  <c r="H18" i="55" s="1"/>
  <c r="F89" i="55"/>
  <c r="F63" i="55"/>
  <c r="U19" i="48"/>
  <c r="C21" i="35"/>
  <c r="Q43" i="30"/>
  <c r="G26" i="21"/>
  <c r="K58" i="48"/>
  <c r="K65" i="48" s="1"/>
  <c r="K41" i="48"/>
  <c r="L37" i="48"/>
  <c r="S33" i="38"/>
  <c r="O32" i="38"/>
  <c r="R42" i="38"/>
  <c r="Y26" i="20"/>
  <c r="G5" i="35"/>
  <c r="H7" i="55" s="1"/>
  <c r="M54" i="59"/>
  <c r="M55" i="59" s="1"/>
  <c r="K59" i="48"/>
  <c r="K66" i="48" s="1"/>
  <c r="L38" i="48"/>
  <c r="K42" i="48"/>
  <c r="V43" i="30"/>
  <c r="L26" i="21"/>
  <c r="R43" i="30"/>
  <c r="H26" i="21"/>
  <c r="E88" i="55"/>
  <c r="E62" i="55"/>
  <c r="U15" i="48"/>
  <c r="V16" i="48"/>
  <c r="D58" i="55"/>
  <c r="D84" i="55"/>
  <c r="W30" i="59"/>
  <c r="W28" i="49"/>
  <c r="X26" i="49"/>
  <c r="F11" i="35"/>
  <c r="G13" i="55" s="1"/>
  <c r="W42" i="59"/>
  <c r="V20" i="59"/>
  <c r="I94" i="55"/>
  <c r="I68" i="55"/>
  <c r="T44" i="38"/>
  <c r="P43" i="38"/>
  <c r="R43" i="38" s="1"/>
  <c r="I25" i="21"/>
  <c r="W58" i="59" l="1"/>
  <c r="V57" i="59"/>
  <c r="V31" i="59"/>
  <c r="W31" i="59" s="1"/>
  <c r="J27" i="59"/>
  <c r="C3" i="50" s="1"/>
  <c r="AB22" i="48"/>
  <c r="K20" i="35" s="1"/>
  <c r="L22" i="55" s="1"/>
  <c r="L98" i="55"/>
  <c r="L72" i="55"/>
  <c r="M48" i="20"/>
  <c r="M49" i="20" s="1"/>
  <c r="F2" i="50"/>
  <c r="U9" i="48"/>
  <c r="D19" i="35" s="1"/>
  <c r="E21" i="55" s="1"/>
  <c r="O49" i="62"/>
  <c r="Q49" i="62" s="1"/>
  <c r="H83" i="55"/>
  <c r="H57" i="55"/>
  <c r="H68" i="55"/>
  <c r="H94" i="55"/>
  <c r="L44" i="48"/>
  <c r="L61" i="48"/>
  <c r="Y10" i="33"/>
  <c r="X15" i="59"/>
  <c r="G12" i="35"/>
  <c r="H14" i="55" s="1"/>
  <c r="J58" i="55"/>
  <c r="J84" i="55"/>
  <c r="AB11" i="20"/>
  <c r="J4" i="35"/>
  <c r="K6" i="55" s="1"/>
  <c r="S43" i="30"/>
  <c r="I26" i="21"/>
  <c r="H60" i="55"/>
  <c r="H86" i="55"/>
  <c r="X42" i="59"/>
  <c r="W20" i="59"/>
  <c r="W16" i="48"/>
  <c r="V15" i="48"/>
  <c r="E70" i="55"/>
  <c r="E96" i="55"/>
  <c r="G63" i="55"/>
  <c r="G89" i="55"/>
  <c r="Z26" i="20"/>
  <c r="H5" i="35"/>
  <c r="I7" i="55" s="1"/>
  <c r="V10" i="48"/>
  <c r="V9" i="48" s="1"/>
  <c r="E19" i="35" s="1"/>
  <c r="F21" i="55" s="1"/>
  <c r="W11" i="48"/>
  <c r="K98" i="55"/>
  <c r="K72" i="55"/>
  <c r="X13" i="48"/>
  <c r="Y13" i="48" s="1"/>
  <c r="Z13" i="48" s="1"/>
  <c r="AA13" i="48" s="1"/>
  <c r="AB13" i="48" s="1"/>
  <c r="AC13" i="48" s="1"/>
  <c r="X30" i="59"/>
  <c r="X29" i="49"/>
  <c r="X28" i="49"/>
  <c r="Y26" i="49"/>
  <c r="G11" i="35"/>
  <c r="H13" i="55" s="1"/>
  <c r="M7" i="50"/>
  <c r="D23" i="55"/>
  <c r="L59" i="48"/>
  <c r="L42" i="48"/>
  <c r="N43" i="30"/>
  <c r="D26" i="21"/>
  <c r="D49" i="26"/>
  <c r="E53" i="26"/>
  <c r="E49" i="26" s="1"/>
  <c r="Z12" i="25"/>
  <c r="Y14" i="25"/>
  <c r="Y13" i="25" s="1"/>
  <c r="H84" i="55"/>
  <c r="H58" i="55"/>
  <c r="L56" i="59"/>
  <c r="K25" i="59"/>
  <c r="K64" i="59"/>
  <c r="K23" i="59" s="1"/>
  <c r="Q32" i="38"/>
  <c r="L43" i="48"/>
  <c r="L60" i="48"/>
  <c r="S34" i="38"/>
  <c r="O33" i="38"/>
  <c r="Q33" i="38" s="1"/>
  <c r="G87" i="55"/>
  <c r="G61" i="55"/>
  <c r="G64" i="55"/>
  <c r="G90" i="55"/>
  <c r="J82" i="55"/>
  <c r="J56" i="55"/>
  <c r="G100" i="55"/>
  <c r="G74" i="55"/>
  <c r="F88" i="55"/>
  <c r="F62" i="55"/>
  <c r="N48" i="20"/>
  <c r="N49" i="20" s="1"/>
  <c r="G2" i="50"/>
  <c r="F10" i="35"/>
  <c r="G12" i="55" s="1"/>
  <c r="W10" i="26"/>
  <c r="T45" i="38"/>
  <c r="P45" i="38" s="1"/>
  <c r="P44" i="38"/>
  <c r="R44" i="38" s="1"/>
  <c r="W29" i="49"/>
  <c r="V19" i="48"/>
  <c r="U18" i="48"/>
  <c r="D21" i="35" s="1"/>
  <c r="E23" i="55" s="1"/>
  <c r="O82" i="26"/>
  <c r="P34" i="26"/>
  <c r="O33" i="26"/>
  <c r="O15" i="26"/>
  <c r="O20" i="26" s="1"/>
  <c r="O84" i="26" s="1"/>
  <c r="L58" i="48"/>
  <c r="L41" i="48"/>
  <c r="X14" i="59"/>
  <c r="Y20" i="25"/>
  <c r="G9" i="35"/>
  <c r="H11" i="55" s="1"/>
  <c r="T43" i="30"/>
  <c r="J26" i="21"/>
  <c r="AA13" i="30"/>
  <c r="AA11" i="30" s="1"/>
  <c r="AA46" i="30" s="1"/>
  <c r="J6" i="35" s="1"/>
  <c r="K8" i="55" s="1"/>
  <c r="AB17" i="30"/>
  <c r="AA15" i="30"/>
  <c r="AC22" i="48"/>
  <c r="L20" i="35" s="1"/>
  <c r="M22" i="55" s="1"/>
  <c r="X27" i="48"/>
  <c r="G22" i="35" s="1"/>
  <c r="H24" i="55" s="1"/>
  <c r="Y126" i="48"/>
  <c r="W43" i="30"/>
  <c r="M26" i="21"/>
  <c r="Y11" i="25" l="1"/>
  <c r="Y19" i="25" s="1"/>
  <c r="H8" i="35" s="1"/>
  <c r="I10" i="55" s="1"/>
  <c r="I86" i="55" s="1"/>
  <c r="W57" i="59"/>
  <c r="X58" i="59"/>
  <c r="E18" i="35"/>
  <c r="F20" i="55" s="1"/>
  <c r="F70" i="55" s="1"/>
  <c r="AA26" i="20"/>
  <c r="I5" i="35"/>
  <c r="J7" i="55" s="1"/>
  <c r="AB13" i="30"/>
  <c r="AB11" i="30" s="1"/>
  <c r="AB46" i="30" s="1"/>
  <c r="K6" i="35" s="1"/>
  <c r="L8" i="55" s="1"/>
  <c r="AC17" i="30"/>
  <c r="AB15" i="30"/>
  <c r="AA12" i="25"/>
  <c r="Z14" i="25"/>
  <c r="Z13" i="25" s="1"/>
  <c r="W19" i="48"/>
  <c r="V18" i="48"/>
  <c r="E21" i="35" s="1"/>
  <c r="F23" i="55" s="1"/>
  <c r="D99" i="55"/>
  <c r="D73" i="55"/>
  <c r="K27" i="59"/>
  <c r="D3" i="50" s="1"/>
  <c r="H63" i="55"/>
  <c r="H89" i="55"/>
  <c r="E97" i="55"/>
  <c r="E71" i="55"/>
  <c r="N12" i="20"/>
  <c r="N27" i="20"/>
  <c r="K58" i="55"/>
  <c r="K84" i="55"/>
  <c r="R45" i="38"/>
  <c r="R46" i="38" s="1"/>
  <c r="R47" i="38" s="1"/>
  <c r="P46" i="38"/>
  <c r="P47" i="38" s="1"/>
  <c r="M56" i="59"/>
  <c r="L25" i="59"/>
  <c r="L64" i="59"/>
  <c r="L23" i="59" s="1"/>
  <c r="Y30" i="59"/>
  <c r="Y28" i="49"/>
  <c r="Z26" i="49"/>
  <c r="Y29" i="49"/>
  <c r="H11" i="35"/>
  <c r="I13" i="55" s="1"/>
  <c r="H64" i="55"/>
  <c r="H90" i="55"/>
  <c r="S35" i="38"/>
  <c r="O34" i="38"/>
  <c r="Q34" i="38" s="1"/>
  <c r="G10" i="35"/>
  <c r="H12" i="55" s="1"/>
  <c r="X10" i="26"/>
  <c r="W10" i="48"/>
  <c r="X11" i="48"/>
  <c r="M27" i="20"/>
  <c r="M12" i="20"/>
  <c r="F97" i="55"/>
  <c r="F71" i="55"/>
  <c r="AC11" i="20"/>
  <c r="K4" i="35"/>
  <c r="L6" i="55" s="1"/>
  <c r="H87" i="55"/>
  <c r="H61" i="55"/>
  <c r="H100" i="55"/>
  <c r="H74" i="55"/>
  <c r="Y14" i="59"/>
  <c r="H9" i="35"/>
  <c r="I11" i="55" s="1"/>
  <c r="Z20" i="25"/>
  <c r="O79" i="26"/>
  <c r="G88" i="55"/>
  <c r="G62" i="55"/>
  <c r="I83" i="55"/>
  <c r="I57" i="55"/>
  <c r="X16" i="48"/>
  <c r="W15" i="48"/>
  <c r="K82" i="55"/>
  <c r="K56" i="55"/>
  <c r="Y15" i="59"/>
  <c r="Z10" i="33"/>
  <c r="H12" i="35"/>
  <c r="I14" i="55" s="1"/>
  <c r="X31" i="59"/>
  <c r="F18" i="35"/>
  <c r="G20" i="55" s="1"/>
  <c r="Y42" i="59"/>
  <c r="X20" i="59"/>
  <c r="Y27" i="48"/>
  <c r="H22" i="35" s="1"/>
  <c r="I24" i="55" s="1"/>
  <c r="Z126" i="48"/>
  <c r="Q34" i="26"/>
  <c r="P15" i="26"/>
  <c r="P20" i="26" s="1"/>
  <c r="P84" i="26" s="1"/>
  <c r="P82" i="26"/>
  <c r="P79" i="26" s="1"/>
  <c r="P33" i="26"/>
  <c r="M98" i="55"/>
  <c r="M72" i="55"/>
  <c r="E99" i="55"/>
  <c r="E73" i="55"/>
  <c r="F96" i="55"/>
  <c r="I60" i="55" l="1"/>
  <c r="Z11" i="25"/>
  <c r="Z19" i="25" s="1"/>
  <c r="I8" i="35" s="1"/>
  <c r="J10" i="55" s="1"/>
  <c r="X57" i="59"/>
  <c r="Y58" i="59"/>
  <c r="J86" i="55"/>
  <c r="J60" i="55"/>
  <c r="Z15" i="59"/>
  <c r="AA10" i="33"/>
  <c r="I12" i="35"/>
  <c r="J14" i="55" s="1"/>
  <c r="G75" i="59"/>
  <c r="H19" i="33"/>
  <c r="F99" i="55"/>
  <c r="F73" i="55"/>
  <c r="L58" i="55"/>
  <c r="L84" i="55"/>
  <c r="AA126" i="48"/>
  <c r="Z27" i="48"/>
  <c r="I22" i="35" s="1"/>
  <c r="J24" i="55" s="1"/>
  <c r="I74" i="55"/>
  <c r="I100" i="55"/>
  <c r="O48" i="20"/>
  <c r="O49" i="20" s="1"/>
  <c r="H2" i="50"/>
  <c r="L82" i="55"/>
  <c r="L56" i="55"/>
  <c r="Y11" i="48"/>
  <c r="X10" i="48"/>
  <c r="L27" i="59"/>
  <c r="E3" i="50" s="1"/>
  <c r="X19" i="48"/>
  <c r="W18" i="48"/>
  <c r="F21" i="35" s="1"/>
  <c r="G23" i="55" s="1"/>
  <c r="J83" i="55"/>
  <c r="J57" i="55"/>
  <c r="Z14" i="59"/>
  <c r="I9" i="35"/>
  <c r="J11" i="55" s="1"/>
  <c r="AA20" i="25"/>
  <c r="W9" i="48"/>
  <c r="F19" i="35" s="1"/>
  <c r="G21" i="55" s="1"/>
  <c r="N56" i="59"/>
  <c r="M25" i="59"/>
  <c r="M64" i="59"/>
  <c r="M23" i="59" s="1"/>
  <c r="W4" i="48"/>
  <c r="X4" i="48" s="1"/>
  <c r="R34" i="26"/>
  <c r="Q15" i="26"/>
  <c r="Q82" i="26"/>
  <c r="Q33" i="26"/>
  <c r="Z42" i="59"/>
  <c r="Y20" i="59"/>
  <c r="I87" i="55"/>
  <c r="I61" i="55"/>
  <c r="L4" i="35"/>
  <c r="M6" i="55" s="1"/>
  <c r="I63" i="55"/>
  <c r="I89" i="55"/>
  <c r="AB26" i="20"/>
  <c r="J5" i="35"/>
  <c r="K7" i="55" s="1"/>
  <c r="Y16" i="48"/>
  <c r="X15" i="48"/>
  <c r="H88" i="55"/>
  <c r="H62" i="55"/>
  <c r="G96" i="55"/>
  <c r="G70" i="55"/>
  <c r="Y31" i="59"/>
  <c r="G18" i="35"/>
  <c r="H20" i="55" s="1"/>
  <c r="Z30" i="59"/>
  <c r="Z28" i="49"/>
  <c r="Z29" i="49" s="1"/>
  <c r="AA26" i="49"/>
  <c r="I11" i="35"/>
  <c r="J13" i="55" s="1"/>
  <c r="AA14" i="25"/>
  <c r="AA13" i="25" s="1"/>
  <c r="AB12" i="25"/>
  <c r="AC15" i="30"/>
  <c r="AC13" i="30"/>
  <c r="AC11" i="30" s="1"/>
  <c r="AC46" i="30" s="1"/>
  <c r="L6" i="35" s="1"/>
  <c r="M8" i="55" s="1"/>
  <c r="P48" i="20"/>
  <c r="P49" i="20" s="1"/>
  <c r="I2" i="50"/>
  <c r="I90" i="55"/>
  <c r="I64" i="55"/>
  <c r="S36" i="38"/>
  <c r="O36" i="38" s="1"/>
  <c r="O35" i="38"/>
  <c r="Q35" i="38" s="1"/>
  <c r="H10" i="35"/>
  <c r="I12" i="55" s="1"/>
  <c r="Y10" i="26"/>
  <c r="Y57" i="59" l="1"/>
  <c r="Z58" i="59"/>
  <c r="M27" i="59"/>
  <c r="F3" i="50" s="1"/>
  <c r="J9" i="35"/>
  <c r="K11" i="55" s="1"/>
  <c r="AB20" i="25"/>
  <c r="H96" i="55"/>
  <c r="H70" i="55"/>
  <c r="Q20" i="26"/>
  <c r="Q84" i="26" s="1"/>
  <c r="J87" i="55"/>
  <c r="J61" i="55"/>
  <c r="X9" i="48"/>
  <c r="G19" i="35" s="1"/>
  <c r="H21" i="55" s="1"/>
  <c r="J100" i="55"/>
  <c r="J74" i="55"/>
  <c r="Z31" i="59"/>
  <c r="H18" i="35"/>
  <c r="I20" i="55" s="1"/>
  <c r="Z11" i="48"/>
  <c r="Y10" i="48"/>
  <c r="AB126" i="48"/>
  <c r="AA27" i="48"/>
  <c r="J22" i="35" s="1"/>
  <c r="K24" i="55" s="1"/>
  <c r="J90" i="55"/>
  <c r="J64" i="55"/>
  <c r="Q36" i="38"/>
  <c r="Q46" i="38" s="1"/>
  <c r="Q47" i="38" s="1"/>
  <c r="O46" i="38"/>
  <c r="O47" i="38" s="1"/>
  <c r="AB10" i="33"/>
  <c r="AA15" i="59"/>
  <c r="J12" i="35"/>
  <c r="K14" i="55" s="1"/>
  <c r="AB14" i="25"/>
  <c r="AB13" i="25" s="1"/>
  <c r="AC12" i="25"/>
  <c r="K83" i="55"/>
  <c r="K57" i="55"/>
  <c r="S34" i="26"/>
  <c r="R15" i="26"/>
  <c r="R20" i="26" s="1"/>
  <c r="R84" i="26" s="1"/>
  <c r="R82" i="26"/>
  <c r="R79" i="26" s="1"/>
  <c r="R33" i="26"/>
  <c r="K5" i="35"/>
  <c r="L7" i="55" s="1"/>
  <c r="Q79" i="26"/>
  <c r="AA11" i="25"/>
  <c r="AA19" i="25" s="1"/>
  <c r="J8" i="35" s="1"/>
  <c r="K10" i="55" s="1"/>
  <c r="G99" i="55"/>
  <c r="G73" i="55"/>
  <c r="M82" i="55"/>
  <c r="M56" i="55"/>
  <c r="Z16" i="48"/>
  <c r="Y15" i="48"/>
  <c r="J63" i="55"/>
  <c r="J89" i="55"/>
  <c r="AA42" i="59"/>
  <c r="Z20" i="59"/>
  <c r="P27" i="20"/>
  <c r="P12" i="20"/>
  <c r="AA30" i="59"/>
  <c r="AB26" i="49"/>
  <c r="AA28" i="49"/>
  <c r="AA29" i="49" s="1"/>
  <c r="J11" i="35"/>
  <c r="K13" i="55" s="1"/>
  <c r="O56" i="59"/>
  <c r="N25" i="59"/>
  <c r="N64" i="59"/>
  <c r="N23" i="59" s="1"/>
  <c r="Y19" i="48"/>
  <c r="X18" i="48"/>
  <c r="G21" i="35" s="1"/>
  <c r="H23" i="55" s="1"/>
  <c r="O27" i="20"/>
  <c r="O12" i="20"/>
  <c r="I62" i="55"/>
  <c r="I88" i="55"/>
  <c r="M58" i="55"/>
  <c r="M84" i="55"/>
  <c r="I10" i="35"/>
  <c r="J12" i="55" s="1"/>
  <c r="Z10" i="26"/>
  <c r="G97" i="55"/>
  <c r="G71" i="55"/>
  <c r="G72" i="59"/>
  <c r="G73" i="59" s="1"/>
  <c r="AB11" i="25" l="1"/>
  <c r="AB19" i="25" s="1"/>
  <c r="K8" i="35" s="1"/>
  <c r="L10" i="55" s="1"/>
  <c r="L60" i="55" s="1"/>
  <c r="AA58" i="59"/>
  <c r="Z57" i="59"/>
  <c r="AC10" i="33"/>
  <c r="AB15" i="59"/>
  <c r="I19" i="33"/>
  <c r="K12" i="35"/>
  <c r="L14" i="55" s="1"/>
  <c r="K86" i="55"/>
  <c r="K60" i="55"/>
  <c r="H99" i="55"/>
  <c r="H73" i="55"/>
  <c r="Q48" i="20"/>
  <c r="Q49" i="20" s="1"/>
  <c r="J2" i="50"/>
  <c r="I96" i="55"/>
  <c r="I70" i="55"/>
  <c r="AB42" i="59"/>
  <c r="AA20" i="59"/>
  <c r="Z19" i="48"/>
  <c r="Y18" i="48"/>
  <c r="H21" i="35" s="1"/>
  <c r="I23" i="55" s="1"/>
  <c r="L57" i="55"/>
  <c r="L83" i="55"/>
  <c r="AC14" i="25"/>
  <c r="AC13" i="25" s="1"/>
  <c r="AA31" i="59"/>
  <c r="I18" i="35"/>
  <c r="J20" i="55" s="1"/>
  <c r="K63" i="55"/>
  <c r="K89" i="55"/>
  <c r="T34" i="26"/>
  <c r="S15" i="26"/>
  <c r="S82" i="26"/>
  <c r="S33" i="26"/>
  <c r="J10" i="35"/>
  <c r="K12" i="55" s="1"/>
  <c r="AA10" i="26"/>
  <c r="L86" i="55"/>
  <c r="AA11" i="48"/>
  <c r="Z10" i="48"/>
  <c r="J62" i="55"/>
  <c r="J88" i="55"/>
  <c r="AB30" i="59"/>
  <c r="AC26" i="49"/>
  <c r="AB28" i="49"/>
  <c r="AB29" i="49" s="1"/>
  <c r="K11" i="35"/>
  <c r="L13" i="55" s="1"/>
  <c r="AA16" i="48"/>
  <c r="Z15" i="48"/>
  <c r="N27" i="59"/>
  <c r="G3" i="50" s="1"/>
  <c r="K100" i="55"/>
  <c r="K74" i="55"/>
  <c r="AB14" i="59"/>
  <c r="K9" i="35"/>
  <c r="L11" i="55" s="1"/>
  <c r="AC20" i="25"/>
  <c r="P56" i="59"/>
  <c r="O25" i="59"/>
  <c r="D76" i="59" s="1"/>
  <c r="O64" i="59"/>
  <c r="O23" i="59" s="1"/>
  <c r="R48" i="20"/>
  <c r="R49" i="20" s="1"/>
  <c r="K2" i="50"/>
  <c r="K90" i="55"/>
  <c r="K64" i="55"/>
  <c r="AC126" i="48"/>
  <c r="AC27" i="48" s="1"/>
  <c r="L22" i="35" s="1"/>
  <c r="M24" i="55" s="1"/>
  <c r="AB27" i="48"/>
  <c r="K22" i="35" s="1"/>
  <c r="L24" i="55" s="1"/>
  <c r="H97" i="55"/>
  <c r="H71" i="55"/>
  <c r="K61" i="55"/>
  <c r="K87" i="55"/>
  <c r="Y9" i="48"/>
  <c r="H19" i="35" s="1"/>
  <c r="I21" i="55" s="1"/>
  <c r="AA14" i="59"/>
  <c r="AC11" i="25" l="1"/>
  <c r="AC19" i="25" s="1"/>
  <c r="L8" i="35" s="1"/>
  <c r="M10" i="55" s="1"/>
  <c r="M86" i="55" s="1"/>
  <c r="AB58" i="59"/>
  <c r="AA57" i="59"/>
  <c r="K62" i="55"/>
  <c r="K88" i="55"/>
  <c r="AB31" i="59"/>
  <c r="J18" i="35"/>
  <c r="K20" i="55" s="1"/>
  <c r="R12" i="20"/>
  <c r="R27" i="20"/>
  <c r="AC42" i="59"/>
  <c r="AC20" i="59" s="1"/>
  <c r="AB20" i="59"/>
  <c r="J96" i="55"/>
  <c r="J70" i="55"/>
  <c r="O27" i="59"/>
  <c r="H3" i="50" s="1"/>
  <c r="P25" i="59"/>
  <c r="Q56" i="59"/>
  <c r="P64" i="59"/>
  <c r="P23" i="59" s="1"/>
  <c r="L90" i="55"/>
  <c r="L64" i="55"/>
  <c r="L9" i="35"/>
  <c r="M11" i="55" s="1"/>
  <c r="AB16" i="48"/>
  <c r="AA15" i="48"/>
  <c r="Z9" i="48"/>
  <c r="I19" i="35" s="1"/>
  <c r="J21" i="55" s="1"/>
  <c r="S20" i="26"/>
  <c r="S84" i="26" s="1"/>
  <c r="S79" i="26" s="1"/>
  <c r="L61" i="55"/>
  <c r="L87" i="55"/>
  <c r="L89" i="55"/>
  <c r="L63" i="55"/>
  <c r="AB11" i="48"/>
  <c r="AA10" i="48"/>
  <c r="T82" i="26"/>
  <c r="T33" i="26"/>
  <c r="U34" i="26"/>
  <c r="T15" i="26"/>
  <c r="T20" i="26" s="1"/>
  <c r="M100" i="55"/>
  <c r="M74" i="55"/>
  <c r="K10" i="35"/>
  <c r="L12" i="55" s="1"/>
  <c r="AB10" i="26"/>
  <c r="I99" i="55"/>
  <c r="I73" i="55"/>
  <c r="Q12" i="20"/>
  <c r="Q27" i="20"/>
  <c r="AC15" i="59"/>
  <c r="L12" i="35"/>
  <c r="M14" i="55" s="1"/>
  <c r="L100" i="55"/>
  <c r="L74" i="55"/>
  <c r="I97" i="55"/>
  <c r="I71" i="55"/>
  <c r="AC30" i="59"/>
  <c r="AC28" i="49"/>
  <c r="AC29" i="49" s="1"/>
  <c r="L11" i="35"/>
  <c r="M13" i="55" s="1"/>
  <c r="Z18" i="48"/>
  <c r="I21" i="35" s="1"/>
  <c r="J23" i="55" s="1"/>
  <c r="AA19" i="48"/>
  <c r="M60" i="55" l="1"/>
  <c r="AC14" i="59"/>
  <c r="AC58" i="59"/>
  <c r="AC57" i="59" s="1"/>
  <c r="AB57" i="59"/>
  <c r="S48" i="20"/>
  <c r="S49" i="20" s="1"/>
  <c r="L2" i="50"/>
  <c r="AB15" i="48"/>
  <c r="AC16" i="48"/>
  <c r="AC15" i="48" s="1"/>
  <c r="R56" i="59"/>
  <c r="Q25" i="59"/>
  <c r="Q64" i="59"/>
  <c r="Q23" i="59" s="1"/>
  <c r="T84" i="26"/>
  <c r="U20" i="26"/>
  <c r="M61" i="55"/>
  <c r="M87" i="55"/>
  <c r="P27" i="59"/>
  <c r="I3" i="50" s="1"/>
  <c r="K96" i="55"/>
  <c r="K70" i="55"/>
  <c r="AC10" i="26"/>
  <c r="L10" i="35"/>
  <c r="M12" i="55" s="1"/>
  <c r="U33" i="26"/>
  <c r="V34" i="26"/>
  <c r="U15" i="26"/>
  <c r="U11" i="26" s="1"/>
  <c r="U9" i="26" s="1"/>
  <c r="U82" i="26"/>
  <c r="AC31" i="59"/>
  <c r="L18" i="35" s="1"/>
  <c r="M20" i="55" s="1"/>
  <c r="K18" i="35"/>
  <c r="L20" i="55" s="1"/>
  <c r="AA18" i="48"/>
  <c r="J21" i="35" s="1"/>
  <c r="K23" i="55" s="1"/>
  <c r="AB19" i="48"/>
  <c r="T79" i="26"/>
  <c r="J99" i="55"/>
  <c r="J73" i="55"/>
  <c r="L62" i="55"/>
  <c r="L88" i="55"/>
  <c r="AA9" i="48"/>
  <c r="J19" i="35" s="1"/>
  <c r="K21" i="55" s="1"/>
  <c r="M89" i="55"/>
  <c r="M63" i="55"/>
  <c r="M64" i="55"/>
  <c r="M90" i="55"/>
  <c r="AC11" i="48"/>
  <c r="AC10" i="48" s="1"/>
  <c r="AC9" i="48" s="1"/>
  <c r="L19" i="35" s="1"/>
  <c r="M21" i="55" s="1"/>
  <c r="AB10" i="48"/>
  <c r="AB9" i="48" s="1"/>
  <c r="K19" i="35" s="1"/>
  <c r="L21" i="55" s="1"/>
  <c r="J97" i="55"/>
  <c r="J71" i="55"/>
  <c r="L96" i="55" l="1"/>
  <c r="L70" i="55"/>
  <c r="M96" i="55"/>
  <c r="M70" i="55"/>
  <c r="M97" i="55"/>
  <c r="M71" i="55"/>
  <c r="Q27" i="59"/>
  <c r="J3" i="50" s="1"/>
  <c r="S56" i="59"/>
  <c r="R25" i="59"/>
  <c r="R64" i="59"/>
  <c r="R23" i="59" s="1"/>
  <c r="T48" i="20"/>
  <c r="T49" i="20" s="1"/>
  <c r="C2" i="35"/>
  <c r="D4" i="55" s="1"/>
  <c r="M2" i="50"/>
  <c r="L97" i="55"/>
  <c r="L71" i="55"/>
  <c r="V33" i="26"/>
  <c r="W34" i="26"/>
  <c r="V15" i="26"/>
  <c r="V82" i="26"/>
  <c r="AB18" i="48"/>
  <c r="K21" i="35" s="1"/>
  <c r="L23" i="55" s="1"/>
  <c r="AC19" i="48"/>
  <c r="AC18" i="48" s="1"/>
  <c r="L21" i="35" s="1"/>
  <c r="M23" i="55" s="1"/>
  <c r="K97" i="55"/>
  <c r="K71" i="55"/>
  <c r="K73" i="55"/>
  <c r="K99" i="55"/>
  <c r="M62" i="55"/>
  <c r="M88" i="55"/>
  <c r="U84" i="26"/>
  <c r="U79" i="26" s="1"/>
  <c r="V20" i="26"/>
  <c r="S27" i="20"/>
  <c r="S12" i="20"/>
  <c r="U48" i="20" l="1"/>
  <c r="U49" i="20" s="1"/>
  <c r="D2" i="35"/>
  <c r="E4" i="55" s="1"/>
  <c r="D54" i="55"/>
  <c r="D80" i="55"/>
  <c r="T12" i="20"/>
  <c r="T27" i="20"/>
  <c r="M99" i="55"/>
  <c r="M73" i="55"/>
  <c r="V11" i="26"/>
  <c r="V9" i="26" s="1"/>
  <c r="L99" i="55"/>
  <c r="L73" i="55"/>
  <c r="W82" i="26"/>
  <c r="X34" i="26"/>
  <c r="W33" i="26"/>
  <c r="W15" i="26"/>
  <c r="W11" i="26" s="1"/>
  <c r="W9" i="26" s="1"/>
  <c r="R27" i="59"/>
  <c r="K3" i="50" s="1"/>
  <c r="W20" i="26"/>
  <c r="V84" i="26"/>
  <c r="V79" i="26" s="1"/>
  <c r="T56" i="59"/>
  <c r="U56" i="59" s="1"/>
  <c r="V56" i="59" s="1"/>
  <c r="W56" i="59" s="1"/>
  <c r="X56" i="59" s="1"/>
  <c r="Y56" i="59" s="1"/>
  <c r="Z56" i="59" s="1"/>
  <c r="AA56" i="59" s="1"/>
  <c r="AB56" i="59" s="1"/>
  <c r="AC56" i="59" s="1"/>
  <c r="S25" i="59"/>
  <c r="S64" i="59"/>
  <c r="S23" i="59" s="1"/>
  <c r="S27" i="59" l="1"/>
  <c r="L3" i="50" s="1"/>
  <c r="V48" i="20"/>
  <c r="V49" i="20" s="1"/>
  <c r="E2" i="35"/>
  <c r="F4" i="55" s="1"/>
  <c r="X15" i="26"/>
  <c r="X82" i="26"/>
  <c r="X33" i="26"/>
  <c r="AD33" i="26" s="1"/>
  <c r="AD34" i="26"/>
  <c r="AE15" i="26" s="1"/>
  <c r="W79" i="26"/>
  <c r="X20" i="26"/>
  <c r="W84" i="26"/>
  <c r="E80" i="55"/>
  <c r="E54" i="55"/>
  <c r="T25" i="59"/>
  <c r="T64" i="59"/>
  <c r="E76" i="59"/>
  <c r="U27" i="20"/>
  <c r="U12" i="20"/>
  <c r="U64" i="59" l="1"/>
  <c r="T23" i="59"/>
  <c r="T27" i="59" s="1"/>
  <c r="U25" i="59"/>
  <c r="X11" i="26"/>
  <c r="X9" i="26" s="1"/>
  <c r="AD15" i="26"/>
  <c r="F80" i="55"/>
  <c r="F54" i="55"/>
  <c r="Y20" i="26"/>
  <c r="X84" i="26"/>
  <c r="X79" i="26" s="1"/>
  <c r="W48" i="20"/>
  <c r="W49" i="20" s="1"/>
  <c r="F2" i="35"/>
  <c r="G4" i="55" s="1"/>
  <c r="V12" i="20"/>
  <c r="V27" i="20"/>
  <c r="X48" i="20" l="1"/>
  <c r="X49" i="20" s="1"/>
  <c r="G2" i="35"/>
  <c r="H4" i="55" s="1"/>
  <c r="C17" i="35"/>
  <c r="D19" i="55" s="1"/>
  <c r="M3" i="50"/>
  <c r="W12" i="20"/>
  <c r="W27" i="20"/>
  <c r="Z20" i="26"/>
  <c r="Y84" i="26"/>
  <c r="Y79" i="26" s="1"/>
  <c r="Y11" i="26"/>
  <c r="Y9" i="26" s="1"/>
  <c r="G80" i="55"/>
  <c r="G54" i="55"/>
  <c r="V25" i="59"/>
  <c r="V64" i="59"/>
  <c r="U23" i="59"/>
  <c r="U12" i="59" s="1"/>
  <c r="U27" i="59" l="1"/>
  <c r="D17" i="35" s="1"/>
  <c r="E19" i="55" s="1"/>
  <c r="E69" i="55" s="1"/>
  <c r="D69" i="55"/>
  <c r="D95" i="55"/>
  <c r="W64" i="59"/>
  <c r="V23" i="59"/>
  <c r="V27" i="59" s="1"/>
  <c r="E17" i="35" s="1"/>
  <c r="F19" i="55" s="1"/>
  <c r="H80" i="55"/>
  <c r="H54" i="55"/>
  <c r="W25" i="59"/>
  <c r="Y48" i="20"/>
  <c r="Y49" i="20" s="1"/>
  <c r="H2" i="35"/>
  <c r="I4" i="55" s="1"/>
  <c r="AA20" i="26"/>
  <c r="Z84" i="26"/>
  <c r="Z79" i="26" s="1"/>
  <c r="Z11" i="26"/>
  <c r="Z9" i="26" s="1"/>
  <c r="X12" i="20"/>
  <c r="X27" i="20"/>
  <c r="E95" i="55" l="1"/>
  <c r="V12" i="59"/>
  <c r="Y12" i="20"/>
  <c r="Y27" i="20"/>
  <c r="AA84" i="26"/>
  <c r="AA79" i="26" s="1"/>
  <c r="AB20" i="26"/>
  <c r="AA11" i="26"/>
  <c r="AA9" i="26" s="1"/>
  <c r="F76" i="59"/>
  <c r="X25" i="59"/>
  <c r="I54" i="55"/>
  <c r="I80" i="55"/>
  <c r="F69" i="55"/>
  <c r="F95" i="55"/>
  <c r="X64" i="59"/>
  <c r="W23" i="59"/>
  <c r="W27" i="59" s="1"/>
  <c r="F17" i="35" s="1"/>
  <c r="G19" i="55" s="1"/>
  <c r="Z48" i="20"/>
  <c r="Z49" i="20" s="1"/>
  <c r="I2" i="35"/>
  <c r="J4" i="55" s="1"/>
  <c r="G95" i="55" l="1"/>
  <c r="G69" i="55"/>
  <c r="W12" i="59"/>
  <c r="F74" i="59" s="1"/>
  <c r="F78" i="59" s="1"/>
  <c r="Y64" i="59"/>
  <c r="X23" i="59"/>
  <c r="X12" i="59" s="1"/>
  <c r="AB84" i="26"/>
  <c r="AB79" i="26" s="1"/>
  <c r="AC20" i="26"/>
  <c r="AB11" i="26"/>
  <c r="AB9" i="26" s="1"/>
  <c r="Z12" i="20"/>
  <c r="Z27" i="20"/>
  <c r="AA48" i="20"/>
  <c r="AA49" i="20" s="1"/>
  <c r="J2" i="35"/>
  <c r="K4" i="55" s="1"/>
  <c r="J54" i="55"/>
  <c r="J80" i="55"/>
  <c r="Y25" i="59"/>
  <c r="X27" i="59" l="1"/>
  <c r="G17" i="35" s="1"/>
  <c r="H19" i="55" s="1"/>
  <c r="H69" i="55" s="1"/>
  <c r="K54" i="55"/>
  <c r="K80" i="55"/>
  <c r="Z64" i="59"/>
  <c r="Y23" i="59"/>
  <c r="Y12" i="59" s="1"/>
  <c r="AA12" i="20"/>
  <c r="AA27" i="20"/>
  <c r="AB48" i="20"/>
  <c r="AB49" i="20" s="1"/>
  <c r="K2" i="35"/>
  <c r="L4" i="55" s="1"/>
  <c r="Z25" i="59"/>
  <c r="AC84" i="26"/>
  <c r="AC79" i="26" s="1"/>
  <c r="AC11" i="26"/>
  <c r="AC9" i="26" s="1"/>
  <c r="H95" i="55" l="1"/>
  <c r="AC48" i="20"/>
  <c r="AC49" i="20" s="1"/>
  <c r="L2" i="35"/>
  <c r="M4" i="55" s="1"/>
  <c r="Y27" i="59"/>
  <c r="H17" i="35" s="1"/>
  <c r="I19" i="55" s="1"/>
  <c r="AA64" i="59"/>
  <c r="Z23" i="59"/>
  <c r="Z12" i="59" s="1"/>
  <c r="L54" i="55"/>
  <c r="L80" i="55"/>
  <c r="AB12" i="20"/>
  <c r="AB27" i="20"/>
  <c r="AA25" i="59"/>
  <c r="G76" i="59" s="1"/>
  <c r="Z27" i="59" l="1"/>
  <c r="I17" i="35" s="1"/>
  <c r="J19" i="55" s="1"/>
  <c r="J95" i="55" s="1"/>
  <c r="I95" i="55"/>
  <c r="I69" i="55"/>
  <c r="AC25" i="59"/>
  <c r="AB25" i="59"/>
  <c r="AB64" i="59"/>
  <c r="AA23" i="59"/>
  <c r="AA12" i="59" s="1"/>
  <c r="G74" i="59" s="1"/>
  <c r="G78" i="59" s="1"/>
  <c r="M54" i="55"/>
  <c r="M80" i="55"/>
  <c r="AC27" i="20"/>
  <c r="AC12" i="20"/>
  <c r="AA27" i="59" l="1"/>
  <c r="J17" i="35" s="1"/>
  <c r="K19" i="55" s="1"/>
  <c r="K69" i="55" s="1"/>
  <c r="J69" i="55"/>
  <c r="AC64" i="59"/>
  <c r="AC23" i="59" s="1"/>
  <c r="AC12" i="59" s="1"/>
  <c r="AB23" i="59"/>
  <c r="AB12" i="59" s="1"/>
  <c r="K95" i="55" l="1"/>
  <c r="AC27" i="59"/>
  <c r="L17" i="35" s="1"/>
  <c r="M19" i="55" s="1"/>
  <c r="AB27" i="59"/>
  <c r="K17" i="35" s="1"/>
  <c r="L19" i="55" s="1"/>
  <c r="L69" i="55" l="1"/>
  <c r="L95" i="55"/>
  <c r="M69" i="55"/>
  <c r="M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9F2AC86B-19D8-431C-B75C-778F2CD9B745}">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D2DB6C3-E97F-4A74-AE8F-0787BF0CD699}">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96427D88-0329-491C-A939-11D66B55F1C3}">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8AABB420-F73D-4E8A-8DF7-F245078D4E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41707468-7438-4BC6-B704-F002DDD23F47}">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6AF7CFB2-704D-4104-831C-CFDBBA2AEEEB}">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5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<sst xmlns="http://schemas.openxmlformats.org/spreadsheetml/2006/main" count="4560" uniqueCount="2292">
  <si>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</si>
  <si>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</si>
  <si>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</si>
  <si>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</si>
  <si>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</si>
  <si>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</si>
  <si>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</si>
  <si>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</si>
  <si>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</si>
  <si>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</si>
  <si>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</si>
  <si>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</si>
  <si>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</si>
  <si>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</si>
  <si>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</si>
  <si>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</si>
  <si>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</si>
  <si>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</si>
  <si>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</si>
  <si>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</si>
  <si>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</si>
  <si>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</si>
  <si>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</si>
  <si>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</si>
  <si>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</si>
  <si>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</si>
  <si>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</si>
  <si>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</si>
  <si>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</si>
  <si>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</si>
  <si>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</si>
  <si>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</si>
  <si>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</si>
  <si>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</si>
  <si>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</si>
  <si>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</si>
  <si>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</si>
  <si>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</si>
  <si>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</si>
  <si>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</si>
  <si>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</si>
  <si>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</si>
  <si>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</si>
  <si>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</si>
  <si>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</si>
  <si>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</si>
  <si>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</si>
  <si>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</si>
  <si>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</si>
  <si>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</si>
  <si>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</si>
  <si>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</si>
  <si>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</si>
  <si>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</si>
  <si>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</si>
  <si>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</si>
  <si>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</si>
  <si>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</si>
  <si>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</si>
  <si>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</si>
  <si>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</si>
  <si>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</si>
  <si>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</si>
  <si>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</si>
  <si>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</si>
  <si>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</si>
  <si>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</si>
  <si>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</si>
  <si>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</si>
  <si>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</si>
  <si>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</si>
  <si>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</si>
  <si>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</si>
  <si>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</si>
  <si>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</si>
  <si>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</si>
  <si>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</si>
  <si>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</si>
  <si>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</si>
  <si>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</si>
  <si>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</si>
  <si>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</si>
  <si>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</si>
  <si>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</si>
  <si>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</si>
  <si>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</si>
  <si>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</si>
  <si>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</si>
  <si>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</si>
  <si>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</si>
  <si>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</si>
  <si>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</si>
  <si>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</si>
  <si>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</si>
  <si>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</si>
  <si>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</si>
  <si>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</si>
  <si>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</si>
  <si>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</si>
  <si>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</si>
  <si>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</si>
  <si>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</si>
  <si>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</si>
  <si>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</si>
  <si>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</si>
  <si>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</si>
  <si>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</si>
  <si>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</si>
  <si>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</si>
  <si>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</si>
  <si>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</si>
  <si>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</si>
  <si>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</si>
  <si>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</si>
  <si>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</si>
  <si>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</si>
  <si>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</si>
  <si>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</si>
  <si>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</si>
  <si>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</si>
  <si>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</si>
  <si>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</si>
  <si>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</si>
  <si>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</si>
  <si>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</si>
  <si>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</si>
  <si>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</si>
  <si>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</si>
  <si>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</si>
  <si>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</si>
  <si>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</si>
  <si>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</si>
  <si>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</si>
  <si>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</si>
  <si>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</si>
  <si>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</si>
  <si>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</si>
  <si>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</si>
  <si>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</si>
  <si>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</si>
  <si>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</si>
  <si>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</si>
  <si>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</si>
  <si>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</si>
  <si>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</si>
  <si>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</si>
  <si>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</si>
  <si>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</si>
  <si>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</si>
  <si>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</si>
  <si>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</si>
  <si>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</si>
  <si>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</si>
  <si>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</si>
  <si>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</si>
  <si>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</si>
  <si>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</si>
  <si>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</si>
  <si>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</si>
  <si>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</si>
  <si>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</si>
  <si>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</si>
  <si>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</si>
  <si>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</si>
  <si>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</si>
  <si>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</si>
  <si>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</si>
  <si>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</si>
  <si>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</si>
  <si>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</si>
  <si>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</si>
  <si>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</si>
  <si>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</si>
  <si>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</si>
  <si>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</si>
  <si>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</si>
  <si>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</si>
  <si>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</si>
  <si>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</si>
  <si>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</si>
  <si>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</si>
  <si>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</si>
  <si>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</si>
  <si>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</si>
  <si>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</si>
  <si>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</si>
  <si>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</si>
  <si>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</si>
  <si>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</si>
  <si>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</si>
  <si>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</si>
  <si>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</si>
  <si>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</si>
  <si>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</si>
  <si>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</si>
  <si>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</si>
  <si>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</si>
  <si>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</si>
  <si>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</si>
  <si>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</si>
  <si>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</si>
  <si>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</si>
  <si>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</si>
  <si>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</si>
  <si>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</si>
  <si>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</si>
  <si>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</si>
  <si>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</si>
  <si>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</si>
  <si>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</si>
  <si>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</si>
  <si>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</si>
  <si>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</si>
  <si>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</si>
  <si>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</si>
  <si>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</si>
  <si>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</si>
  <si>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</si>
  <si>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</si>
  <si>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</si>
  <si>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</si>
  <si>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</si>
  <si>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</si>
  <si>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</si>
  <si>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</si>
  <si>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</si>
  <si>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</si>
  <si>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</si>
  <si>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</si>
  <si>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</si>
  <si>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</si>
  <si>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</si>
  <si>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</si>
  <si>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</si>
  <si>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</si>
  <si>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</si>
  <si>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</si>
  <si>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</si>
  <si>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</si>
  <si>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</si>
  <si>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</si>
  <si>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</si>
  <si>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</si>
  <si>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</si>
  <si>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</si>
  <si>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</si>
  <si>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</si>
  <si>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</si>
  <si>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</si>
  <si>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</si>
  <si>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</si>
  <si>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</si>
  <si>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</si>
  <si>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</si>
  <si>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</si>
  <si>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</si>
  <si>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</si>
  <si>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</si>
  <si>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</si>
  <si>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</si>
  <si>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</si>
  <si>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</si>
  <si>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</si>
  <si>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</si>
  <si>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</si>
  <si>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</si>
  <si>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</si>
  <si>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</si>
  <si>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</si>
  <si>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</si>
  <si>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</si>
  <si>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</si>
  <si>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</si>
  <si>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</si>
  <si>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</si>
  <si>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</si>
  <si>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</si>
  <si>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</si>
  <si>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</si>
  <si>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</si>
  <si>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</si>
  <si>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</si>
  <si>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</si>
  <si>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</si>
  <si>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</si>
  <si>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</si>
  <si>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</si>
  <si>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</si>
  <si>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</si>
  <si>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</si>
  <si>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</si>
  <si>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</si>
  <si>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</si>
  <si>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</si>
  <si>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</si>
  <si>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</si>
  <si>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</si>
  <si>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</si>
  <si>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</si>
  <si>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</si>
  <si>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</si>
  <si>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</si>
  <si>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</si>
  <si>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</si>
  <si>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</si>
  <si>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</si>
  <si>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</si>
  <si>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</si>
  <si>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</si>
  <si>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</si>
  <si>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</si>
  <si>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</si>
  <si>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</si>
  <si>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</si>
  <si>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</si>
  <si>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</si>
  <si>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</si>
  <si>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</si>
  <si>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</si>
  <si>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</si>
  <si>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</si>
  <si>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</si>
  <si>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</si>
  <si>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</si>
  <si>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</si>
  <si>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</si>
  <si>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</si>
  <si>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</si>
  <si>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</si>
  <si>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</si>
  <si>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</si>
  <si>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</si>
  <si>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</si>
  <si>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</si>
  <si>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</si>
  <si>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</si>
  <si>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</si>
  <si>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</si>
  <si>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</si>
  <si>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</si>
  <si>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</si>
  <si>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</si>
  <si>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</si>
  <si>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</si>
  <si>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</si>
  <si>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</si>
  <si>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</si>
  <si>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</si>
  <si>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</si>
  <si>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</si>
  <si>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</si>
  <si>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</si>
  <si>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</si>
  <si>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</si>
  <si>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</si>
  <si>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</si>
  <si>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</si>
  <si>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</si>
  <si>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</si>
  <si>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</si>
  <si>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</si>
  <si>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</si>
  <si>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</si>
  <si>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</si>
  <si>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</si>
  <si>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</si>
  <si>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</si>
  <si>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</si>
  <si>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</si>
  <si>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</si>
  <si>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</si>
  <si>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</si>
  <si>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</si>
  <si>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</si>
  <si>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</si>
  <si>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</si>
  <si>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</si>
  <si>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</si>
  <si>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</si>
  <si>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</si>
  <si>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</si>
  <si>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</si>
  <si>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</si>
  <si>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</si>
  <si>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</si>
  <si>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</si>
  <si>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</si>
  <si>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</si>
  <si>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</si>
  <si>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</si>
  <si>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</si>
  <si>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</si>
  <si>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</si>
  <si>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</si>
  <si>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</si>
  <si>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</si>
  <si>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</si>
  <si>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</si>
  <si>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</si>
  <si>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</si>
  <si>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</si>
  <si>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</si>
  <si>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</si>
  <si>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</si>
  <si>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</si>
  <si>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</si>
  <si>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</si>
  <si>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</si>
  <si>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</si>
  <si>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</si>
  <si>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</si>
  <si>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</si>
  <si>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</si>
  <si>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</si>
  <si>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</si>
  <si>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</si>
  <si>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</si>
  <si>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</si>
  <si>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</si>
  <si>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</si>
  <si>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</si>
  <si>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</si>
  <si>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</si>
  <si>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</si>
  <si>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</si>
  <si>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</si>
  <si>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</si>
  <si>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</si>
  <si>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</si>
  <si>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</si>
  <si>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</si>
  <si>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</si>
  <si>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</si>
  <si>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</si>
  <si>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</si>
  <si>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</si>
  <si>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</si>
  <si>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</si>
  <si>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</si>
  <si>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</si>
  <si>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</si>
  <si>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</si>
  <si>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</si>
  <si>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</si>
  <si>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</si>
  <si>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</si>
  <si>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</si>
  <si>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</si>
  <si>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</si>
  <si>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</si>
  <si>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</si>
  <si>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</si>
  <si>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</si>
  <si>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</si>
  <si>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</si>
  <si>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</si>
  <si>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</si>
  <si>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</si>
  <si>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</si>
  <si>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</si>
  <si>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</si>
  <si>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</si>
  <si>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</si>
  <si>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</si>
  <si>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</si>
  <si>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</si>
  <si>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</si>
  <si>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</si>
  <si>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</si>
  <si>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</si>
  <si>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</si>
  <si>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</si>
  <si>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</si>
  <si>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</si>
  <si>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</si>
  <si>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</si>
  <si>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</si>
  <si>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</si>
  <si>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</si>
  <si>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</si>
  <si>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</si>
  <si>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</si>
  <si>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</si>
  <si>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</si>
  <si>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</si>
  <si>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</si>
  <si>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</si>
  <si>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</si>
  <si>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</si>
  <si>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</si>
  <si>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</si>
  <si>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</si>
  <si>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</si>
  <si>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</si>
  <si>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</si>
  <si>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</si>
  <si>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</si>
  <si>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</si>
  <si>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</si>
  <si>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</si>
  <si>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</si>
  <si>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</si>
  <si>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</si>
  <si>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</si>
  <si>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</si>
  <si>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</si>
  <si>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</si>
  <si>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</si>
  <si>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</si>
  <si>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</si>
  <si>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</si>
  <si>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</si>
  <si>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</si>
  <si>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</si>
  <si>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</si>
  <si>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</si>
  <si>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</si>
  <si>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</si>
  <si>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</si>
  <si>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</si>
  <si>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</si>
  <si>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</si>
  <si>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</si>
  <si>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</si>
  <si>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</si>
  <si>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</si>
  <si>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</si>
  <si>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</si>
  <si>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</si>
  <si>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</si>
  <si>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</si>
  <si>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</si>
  <si>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</si>
  <si>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</si>
  <si>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</si>
  <si>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</si>
  <si>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</si>
  <si>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</si>
  <si>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</si>
  <si>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</si>
  <si>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</si>
  <si>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</si>
  <si>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</si>
  <si>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</si>
  <si>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</si>
  <si>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</si>
  <si>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</si>
  <si>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</si>
  <si>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</si>
  <si>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</si>
  <si>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</si>
  <si>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</si>
  <si>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</si>
  <si>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</si>
  <si>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</si>
  <si>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</si>
  <si>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</si>
  <si>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</si>
  <si>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</si>
  <si>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</si>
  <si>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</si>
  <si>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</si>
  <si>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</si>
  <si>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</si>
  <si>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</si>
  <si>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</si>
  <si>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</si>
  <si>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</si>
  <si>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</si>
  <si>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</si>
  <si>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</si>
  <si>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</si>
  <si>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</si>
  <si>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</si>
  <si>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</si>
  <si>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</si>
  <si>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</si>
  <si>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</si>
  <si>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</si>
  <si>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</si>
  <si>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</si>
  <si>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</si>
  <si>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</si>
  <si>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</si>
  <si>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</si>
  <si>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</si>
  <si>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</si>
  <si>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</si>
  <si>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</si>
  <si>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</si>
  <si>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</si>
  <si>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</si>
  <si>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</si>
  <si>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</si>
  <si>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</si>
  <si>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</si>
  <si>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</si>
  <si>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</si>
  <si>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</si>
  <si>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</si>
  <si>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</si>
  <si>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</si>
  <si>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</si>
  <si>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</si>
  <si>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</si>
  <si>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</si>
  <si>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</si>
  <si>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</si>
  <si>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</si>
  <si>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</si>
  <si>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</si>
  <si>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</si>
  <si>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</si>
  <si>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</si>
  <si>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</si>
  <si>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</si>
  <si>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</si>
  <si>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</si>
  <si>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</si>
  <si>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</si>
  <si>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</si>
  <si>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</si>
  <si>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</si>
  <si>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</si>
  <si>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</si>
  <si>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</si>
  <si>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</si>
  <si>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</si>
  <si>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</si>
  <si>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</si>
  <si>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</si>
  <si>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</si>
  <si>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</si>
  <si>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</si>
  <si>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</si>
  <si>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</si>
  <si>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</si>
  <si>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</si>
  <si>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</si>
  <si>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</si>
  <si>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</si>
  <si>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</si>
  <si>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</si>
  <si>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</si>
  <si>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</si>
  <si>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</si>
  <si>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</si>
  <si>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</si>
  <si>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</si>
  <si>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</si>
  <si>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</si>
  <si>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</si>
  <si>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</si>
  <si>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</si>
  <si>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</si>
  <si>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</si>
  <si>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</si>
  <si>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</si>
  <si>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</si>
  <si>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</si>
  <si>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</si>
  <si>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</si>
  <si>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</si>
  <si>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</si>
  <si>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</si>
  <si>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</si>
  <si>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</si>
  <si>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</si>
  <si>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</si>
  <si>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</si>
  <si>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</si>
  <si>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</si>
  <si>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</si>
  <si>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</si>
  <si>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</si>
  <si>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</si>
  <si>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</si>
  <si>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</si>
  <si>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</si>
  <si>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</si>
  <si>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</si>
  <si>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</si>
  <si>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</si>
  <si>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</si>
  <si>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</si>
  <si>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</si>
  <si>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</si>
  <si>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</si>
  <si>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</si>
  <si>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</si>
  <si>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</si>
  <si>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</si>
  <si>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</si>
  <si>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</si>
  <si>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</si>
  <si>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</si>
  <si>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</si>
  <si>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</si>
  <si>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</si>
  <si>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</si>
  <si>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</si>
  <si>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</si>
  <si>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</si>
  <si>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</si>
  <si>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</si>
  <si>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</si>
  <si>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</si>
  <si>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</si>
  <si>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</si>
  <si>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</si>
  <si>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</si>
  <si>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</si>
  <si>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</si>
  <si>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</si>
  <si>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</si>
  <si>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</si>
  <si>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</si>
  <si>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</si>
  <si>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</si>
  <si>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</si>
  <si>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</si>
  <si>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</si>
  <si>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</si>
  <si>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</si>
  <si>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</si>
  <si>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</si>
  <si>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</si>
  <si>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</si>
  <si>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</si>
  <si>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</si>
  <si>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</si>
  <si>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</si>
  <si>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</si>
  <si>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</si>
  <si>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</si>
  <si>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</si>
  <si>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</si>
  <si>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</si>
  <si>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</si>
  <si>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</si>
  <si>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</si>
  <si>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</si>
  <si>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</si>
  <si>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</si>
  <si>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</si>
  <si>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</si>
  <si>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</si>
  <si>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</si>
  <si>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</si>
  <si>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</si>
  <si>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</si>
  <si>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</si>
  <si>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</si>
  <si>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</si>
  <si>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</si>
  <si>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</si>
  <si>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</si>
  <si>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</si>
  <si>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</si>
  <si>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</si>
  <si>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</si>
  <si>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</si>
  <si>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</si>
  <si>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</si>
  <si>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</si>
  <si>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</si>
  <si>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</si>
  <si>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</si>
  <si>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</si>
  <si>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</si>
  <si>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</si>
  <si>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</si>
  <si>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</si>
  <si>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</si>
  <si>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</si>
  <si>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</si>
  <si>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</si>
  <si>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</si>
  <si>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</si>
  <si>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</si>
  <si>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</si>
  <si>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</si>
  <si>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</si>
  <si>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</si>
  <si>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</si>
  <si>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</si>
  <si>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</si>
  <si>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</si>
  <si>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</si>
  <si>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</si>
  <si>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</si>
  <si>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</si>
  <si>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</si>
  <si>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</si>
  <si>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</si>
  <si>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</si>
  <si>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</si>
  <si>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</si>
  <si>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</si>
  <si>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</si>
  <si>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</si>
  <si>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</si>
  <si>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</si>
  <si>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</si>
  <si>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</si>
  <si>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</si>
  <si>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</si>
  <si>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</si>
  <si>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</si>
  <si>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</si>
  <si>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</si>
  <si>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</si>
  <si>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</si>
  <si>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</si>
  <si>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</si>
  <si>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</si>
  <si>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</si>
  <si>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</si>
  <si>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</si>
  <si>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</si>
  <si>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</si>
  <si>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</si>
  <si>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</si>
  <si>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</si>
  <si>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</si>
  <si>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</si>
  <si>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</si>
  <si>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</si>
  <si>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</si>
  <si>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</si>
  <si>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</si>
  <si>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</si>
  <si>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</si>
  <si>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</si>
  <si>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</si>
  <si>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</si>
  <si>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</si>
  <si>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</si>
  <si>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</si>
  <si>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</si>
  <si>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</si>
  <si>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</si>
  <si>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</si>
  <si>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</si>
  <si>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</si>
  <si>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</si>
  <si>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</si>
  <si>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</si>
  <si>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</si>
  <si>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</si>
  <si>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</si>
  <si>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</si>
  <si>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</si>
  <si>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</si>
  <si>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</si>
  <si>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</si>
  <si>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</si>
  <si>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</si>
  <si>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</si>
  <si>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</si>
  <si>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</si>
  <si>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</si>
  <si>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</si>
  <si>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</si>
  <si>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</si>
  <si>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</si>
  <si>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</si>
  <si>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</si>
  <si>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</si>
  <si>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</si>
  <si>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</si>
  <si>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</si>
  <si>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</si>
  <si>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</si>
  <si>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</si>
  <si>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</si>
  <si>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</si>
  <si>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</si>
  <si>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</si>
  <si>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</si>
  <si>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</si>
  <si>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</si>
  <si>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</si>
  <si>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</si>
  <si>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</si>
  <si>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</si>
  <si>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</si>
  <si>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</si>
  <si>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</si>
  <si>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</si>
  <si>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</si>
  <si>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</si>
  <si>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</si>
  <si>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</si>
  <si>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</si>
  <si>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</si>
  <si>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</si>
  <si>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</si>
  <si>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</si>
  <si>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</si>
  <si>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</si>
  <si>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</si>
  <si>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</si>
  <si>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</si>
  <si>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</si>
  <si>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</si>
  <si>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</si>
  <si>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</si>
  <si>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</si>
  <si>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</si>
  <si>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</si>
  <si>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</si>
  <si>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</si>
  <si>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</si>
  <si>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</si>
  <si>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</si>
  <si>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</si>
  <si>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</si>
  <si>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</si>
  <si>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</si>
  <si>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</si>
  <si>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</si>
  <si>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</si>
  <si>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</si>
  <si>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</si>
  <si>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</si>
  <si>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</si>
  <si>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</si>
  <si>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</si>
  <si>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</si>
  <si>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</si>
  <si>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</si>
  <si>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</si>
  <si>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</si>
  <si>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</si>
  <si>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</si>
  <si>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</si>
  <si>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</si>
  <si>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</si>
  <si>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</si>
  <si>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</si>
  <si>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</si>
  <si>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</si>
  <si>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</si>
  <si>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</si>
  <si>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</si>
  <si>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</si>
  <si>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</si>
  <si>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</si>
  <si>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</si>
  <si>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</si>
  <si>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</si>
  <si>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</si>
  <si>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</si>
  <si>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</si>
  <si>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</si>
  <si>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</si>
  <si>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</si>
  <si>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</si>
  <si>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</si>
  <si>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</si>
  <si>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</si>
  <si>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</si>
  <si>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</si>
  <si>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</si>
  <si>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</si>
  <si>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</si>
  <si>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</si>
  <si>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</si>
  <si>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</si>
  <si>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</si>
  <si>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</si>
  <si>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</si>
  <si>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</si>
  <si>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</si>
  <si>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</si>
  <si>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</si>
  <si>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</si>
  <si>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</si>
  <si>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</si>
  <si>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</si>
  <si>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</si>
  <si>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</si>
  <si>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</si>
  <si>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</si>
  <si>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</si>
  <si>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</si>
  <si>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</si>
  <si>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</si>
  <si>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</si>
  <si>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</si>
  <si>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</si>
  <si>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</si>
  <si>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</si>
  <si>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</si>
  <si>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</si>
  <si>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</si>
  <si>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</si>
  <si>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</si>
  <si>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</si>
  <si>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</si>
  <si>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</si>
  <si>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</si>
  <si>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</si>
  <si>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</si>
  <si>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</si>
  <si>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</si>
  <si>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</si>
  <si>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</si>
  <si>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</si>
  <si>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</si>
  <si>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</si>
  <si>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</si>
  <si>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</si>
  <si>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</si>
  <si>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</si>
  <si>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</si>
  <si>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</si>
  <si>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</si>
  <si>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</si>
  <si>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</si>
  <si>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</si>
  <si>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</si>
  <si>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</si>
  <si>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</si>
  <si>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</si>
  <si>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</si>
  <si>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</si>
  <si>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</si>
  <si>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</si>
  <si>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</si>
  <si>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</si>
  <si>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</si>
  <si>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</si>
  <si>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</si>
  <si>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</si>
  <si>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</si>
  <si>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</si>
  <si>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</si>
  <si>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</si>
  <si>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</si>
  <si>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</si>
  <si>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</si>
  <si>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</si>
  <si>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</si>
  <si>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</si>
  <si>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</si>
  <si>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</si>
  <si>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</si>
  <si>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</si>
  <si>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</si>
  <si>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</si>
  <si>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</si>
  <si>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</si>
  <si>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</si>
  <si>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</si>
  <si>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</si>
  <si>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</si>
  <si>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</si>
  <si>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</si>
  <si>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</si>
  <si>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</si>
  <si>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</si>
  <si>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</si>
  <si>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</si>
  <si>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</si>
  <si>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</si>
  <si>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</si>
  <si>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</si>
  <si>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</si>
  <si>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</si>
  <si>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</si>
  <si>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</si>
  <si>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</si>
  <si>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</si>
  <si>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</si>
  <si>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</si>
  <si>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</si>
  <si>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</si>
  <si>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</si>
  <si>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</si>
  <si>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</si>
  <si>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</si>
  <si>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</si>
  <si>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</si>
  <si>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</si>
  <si>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</si>
  <si>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</si>
  <si>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</si>
  <si>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</si>
  <si>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</si>
  <si>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</si>
  <si>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</si>
  <si>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</si>
  <si>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</si>
  <si>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</si>
  <si>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</si>
  <si>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</si>
  <si>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</si>
  <si>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</si>
  <si>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</si>
  <si>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</si>
  <si>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</si>
  <si>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</si>
  <si>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</si>
  <si>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</si>
  <si>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</si>
  <si>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</si>
  <si>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</si>
  <si>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</si>
  <si>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</si>
  <si>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</si>
  <si>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</si>
  <si>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</si>
  <si>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</si>
  <si>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</si>
  <si>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</si>
  <si>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</si>
  <si>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</si>
  <si>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</si>
  <si>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</si>
  <si>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</si>
  <si>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</si>
  <si>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</si>
  <si>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</si>
  <si>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</si>
  <si>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</si>
  <si>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</si>
  <si>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</si>
  <si>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</si>
  <si>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</si>
  <si>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</si>
  <si>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</si>
  <si>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</si>
  <si>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</si>
  <si>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</si>
  <si>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</si>
  <si>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</si>
  <si>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</si>
  <si>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</si>
  <si>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</si>
  <si>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</si>
  <si>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</si>
  <si>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</si>
  <si>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</si>
  <si>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</si>
  <si>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</si>
  <si>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</si>
  <si>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</si>
  <si>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</si>
  <si>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</si>
  <si>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</si>
  <si>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</si>
  <si>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</si>
  <si>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</si>
  <si>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</si>
  <si>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</si>
  <si>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</si>
  <si>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</si>
  <si>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</si>
  <si>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</si>
  <si>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</si>
  <si>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</si>
  <si>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</si>
  <si>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</si>
  <si>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</si>
  <si>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</si>
  <si>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</si>
  <si>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</si>
  <si>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</si>
  <si>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</si>
  <si>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</si>
  <si>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</si>
  <si>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</si>
  <si>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</si>
  <si>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</si>
  <si>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</si>
  <si>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</si>
  <si>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</si>
  <si>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</si>
  <si>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</si>
  <si>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</si>
  <si>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</si>
  <si>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</si>
  <si>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</si>
  <si>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</si>
  <si>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</si>
  <si>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</si>
  <si>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</si>
  <si>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</si>
  <si>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</si>
  <si>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</si>
  <si>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</si>
  <si>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</si>
  <si>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</si>
  <si>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</si>
  <si>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</si>
  <si>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</si>
  <si>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</si>
  <si>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</si>
  <si>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</si>
  <si>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</si>
  <si>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</si>
  <si>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</si>
  <si>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</si>
  <si>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</si>
  <si>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</si>
  <si>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</si>
  <si>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</si>
  <si>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</si>
  <si>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</si>
  <si>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</si>
  <si>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</si>
  <si>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</si>
  <si>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</si>
  <si>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</si>
  <si>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</si>
  <si>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</si>
  <si>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</si>
  <si>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</si>
  <si>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</si>
  <si>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</si>
  <si>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</si>
  <si>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</si>
  <si>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</si>
  <si>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</si>
  <si>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</si>
  <si>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</si>
  <si>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</si>
  <si>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</si>
  <si>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</si>
  <si>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</si>
  <si>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</si>
  <si>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</si>
  <si>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</si>
  <si>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</si>
  <si>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</si>
  <si>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</si>
  <si>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</si>
  <si>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</si>
  <si>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</si>
  <si>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</si>
  <si>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</si>
  <si>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</si>
  <si>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</si>
  <si>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</si>
  <si>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</si>
  <si>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</si>
  <si>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</si>
  <si>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</si>
  <si>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</si>
  <si>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</si>
  <si>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</si>
  <si>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</si>
  <si>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</si>
  <si>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</si>
  <si>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</si>
  <si>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</si>
  <si>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</si>
  <si>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</si>
  <si>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</si>
  <si>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</si>
  <si>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</si>
  <si>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</si>
  <si>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</si>
  <si>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</si>
  <si>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</si>
  <si>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</si>
  <si>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</si>
  <si>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</si>
  <si>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</si>
  <si>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</si>
  <si>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</si>
  <si>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</si>
  <si>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</si>
  <si>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</si>
  <si>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</si>
  <si>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</si>
  <si>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</si>
  <si>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</si>
  <si>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</si>
  <si>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</si>
  <si>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</si>
  <si>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</si>
  <si>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</si>
  <si>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</si>
  <si>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</si>
  <si>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</si>
  <si>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</si>
  <si>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</si>
  <si>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</si>
  <si>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</si>
  <si>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</si>
  <si>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</si>
  <si>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</si>
  <si>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</si>
  <si>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</si>
  <si>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</si>
  <si>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</si>
  <si>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</si>
  <si>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</si>
  <si>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</si>
  <si>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</si>
  <si>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</si>
  <si>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</si>
  <si>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</si>
  <si>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</si>
  <si>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</si>
  <si>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</si>
  <si>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</si>
  <si>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</si>
  <si>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</si>
  <si>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</si>
  <si>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</si>
  <si>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</si>
  <si>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</si>
  <si>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</si>
  <si>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</si>
  <si>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</si>
  <si>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</si>
  <si>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</si>
  <si>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</si>
  <si>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</si>
  <si>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</si>
  <si>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</si>
  <si>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</si>
  <si>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</si>
  <si>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</si>
  <si>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</si>
  <si>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</si>
  <si>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</si>
  <si>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</si>
  <si>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</si>
  <si>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</si>
  <si>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</si>
  <si>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</si>
  <si>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</si>
  <si>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</si>
  <si>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</si>
  <si>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</si>
  <si>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</si>
  <si>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</si>
  <si>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</si>
  <si>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</si>
  <si>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</si>
  <si>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</si>
  <si>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</si>
  <si>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</si>
  <si>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</si>
  <si>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</si>
  <si>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</si>
  <si>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</si>
  <si>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</si>
  <si>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</si>
  <si>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</si>
  <si>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</si>
  <si>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</si>
  <si>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</si>
  <si>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</si>
  <si>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</si>
  <si>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</si>
  <si>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</si>
  <si>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</si>
  <si>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</si>
  <si>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</si>
  <si>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</si>
  <si>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</si>
  <si>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</si>
  <si>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</si>
  <si>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</si>
  <si>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</si>
  <si>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</si>
  <si>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</si>
  <si>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</si>
  <si>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</si>
  <si>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</si>
  <si>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</si>
  <si>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</si>
  <si>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</si>
  <si>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</si>
  <si>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</si>
  <si>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</si>
  <si>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</si>
  <si>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</si>
  <si>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</si>
  <si>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</si>
  <si>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</si>
  <si>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</si>
  <si>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</si>
  <si>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</si>
  <si>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</si>
  <si>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</si>
  <si>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</si>
  <si>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</si>
  <si>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</si>
  <si>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</si>
  <si>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</si>
  <si>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</si>
  <si>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</si>
  <si>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</si>
  <si>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</si>
  <si>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</si>
  <si>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</si>
  <si>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</si>
  <si>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</si>
  <si>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</si>
  <si>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</si>
  <si>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</si>
  <si>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</si>
  <si>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</si>
  <si>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</si>
  <si>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</si>
  <si>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</si>
  <si>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</si>
  <si>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</si>
  <si>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</si>
  <si>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</si>
  <si>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</si>
  <si>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</si>
  <si>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</si>
  <si>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</si>
  <si>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</si>
  <si>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</si>
  <si>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</si>
  <si>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</si>
  <si>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</si>
  <si>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</si>
  <si>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</si>
  <si>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</si>
  <si>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</si>
  <si>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</si>
  <si>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</si>
  <si>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</si>
  <si>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</si>
  <si>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</si>
  <si>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</si>
  <si>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</si>
  <si>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</si>
  <si>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</si>
  <si>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</si>
  <si>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</si>
  <si>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</si>
  <si>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</si>
  <si>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</si>
  <si>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</si>
  <si>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</si>
  <si>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</si>
  <si>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</si>
  <si>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</si>
  <si>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</si>
  <si>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</si>
  <si>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</si>
  <si>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</si>
  <si>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</si>
  <si>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</si>
  <si>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</si>
  <si>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</si>
  <si>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</si>
  <si>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</si>
  <si>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</si>
  <si>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</si>
  <si>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</si>
  <si>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</si>
  <si>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</si>
  <si>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</si>
  <si>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</si>
  <si>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</si>
  <si>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</si>
  <si>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</si>
  <si>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</si>
  <si>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</si>
  <si>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</si>
  <si>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</si>
  <si>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</si>
  <si>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</si>
  <si>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</si>
  <si>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</si>
  <si>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</si>
  <si>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</si>
  <si>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</si>
  <si>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</si>
  <si>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</si>
  <si>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</si>
  <si>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</si>
  <si>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</si>
  <si>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</si>
  <si>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</si>
  <si>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</si>
  <si>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</si>
  <si>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</si>
  <si>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</si>
  <si>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</si>
  <si>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</si>
  <si>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</si>
  <si>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</si>
  <si>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</si>
  <si>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</si>
  <si>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</si>
  <si>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</si>
  <si>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</si>
  <si>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</si>
  <si>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</si>
  <si>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</si>
  <si>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</si>
  <si>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</si>
  <si>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</si>
  <si>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</si>
  <si>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</si>
  <si>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</si>
  <si>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</si>
  <si>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</si>
  <si>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</si>
  <si>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</si>
  <si>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</si>
  <si>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</si>
  <si>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</si>
  <si>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</si>
  <si>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</si>
  <si>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</si>
  <si>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</si>
  <si>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</si>
  <si>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</si>
  <si>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</si>
  <si>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</si>
  <si>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</si>
  <si>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</si>
  <si>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</si>
  <si>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</si>
  <si>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</si>
  <si>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</si>
  <si>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</si>
  <si>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</si>
  <si>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</si>
  <si>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</si>
  <si>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</si>
  <si>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</si>
  <si>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</si>
  <si>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</si>
  <si>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</si>
  <si>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</si>
  <si>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</si>
  <si>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</si>
  <si>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</si>
  <si>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</si>
  <si>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</si>
  <si>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</si>
  <si>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</si>
  <si>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</si>
  <si>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</si>
  <si>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</si>
  <si>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</si>
  <si>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</si>
  <si>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</si>
  <si>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</si>
  <si>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</si>
  <si>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</si>
  <si>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</si>
  <si>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</si>
  <si>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</si>
  <si>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</si>
  <si>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</si>
  <si>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</si>
  <si>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</si>
  <si>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</si>
  <si>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</si>
  <si>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</si>
  <si>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</si>
  <si>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</si>
  <si>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</si>
  <si>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</si>
  <si>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</si>
  <si>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</si>
  <si>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</si>
  <si>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</si>
  <si>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</si>
  <si>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</si>
  <si>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</si>
  <si>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</si>
  <si>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</si>
  <si>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</si>
  <si>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</si>
  <si>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</si>
  <si>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</si>
  <si>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</si>
  <si>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</si>
  <si>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</si>
  <si>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</si>
  <si>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</si>
  <si>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</si>
  <si>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</si>
  <si>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</si>
  <si>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</si>
  <si>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</si>
  <si>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</si>
  <si>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</si>
  <si>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</si>
  <si>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</si>
  <si>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</si>
  <si>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</si>
  <si>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</si>
  <si>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</si>
  <si>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</si>
  <si>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</si>
  <si>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</si>
  <si>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</si>
  <si>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</si>
  <si>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</si>
  <si>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</si>
  <si>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</si>
  <si>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</si>
  <si>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</si>
  <si>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</si>
  <si>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</si>
  <si>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</si>
  <si>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</si>
  <si>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</si>
  <si>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</si>
  <si>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</si>
  <si>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</si>
  <si>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</si>
  <si>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</si>
  <si>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</si>
  <si>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</si>
  <si>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</si>
  <si>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</si>
  <si>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</si>
  <si>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</si>
  <si>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</si>
  <si>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</si>
  <si>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</si>
  <si>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</si>
  <si>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</si>
  <si>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</si>
  <si>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</si>
  <si>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</si>
  <si>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</si>
  <si>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</si>
  <si>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</si>
  <si>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</si>
  <si>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</si>
  <si>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</si>
  <si>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</si>
  <si>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</si>
  <si>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</si>
  <si>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</si>
  <si>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</si>
  <si>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</si>
  <si>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</si>
  <si>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</si>
  <si>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</si>
  <si>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</si>
  <si>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</si>
  <si>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</si>
  <si>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</si>
  <si>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</si>
  <si>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</si>
  <si>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</si>
  <si>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</si>
  <si>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</si>
  <si>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</si>
  <si>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</si>
  <si>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</si>
  <si>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</si>
  <si>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</si>
  <si>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</si>
  <si>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</si>
  <si>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</si>
  <si>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</si>
  <si>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</si>
  <si>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</si>
  <si>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</si>
  <si>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</si>
  <si>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</si>
  <si>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</si>
  <si>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</si>
  <si>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</si>
  <si>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</si>
  <si>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</si>
  <si>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</si>
  <si>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</si>
  <si>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</si>
  <si>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</si>
  <si>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</si>
  <si>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</si>
  <si>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</si>
  <si>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</si>
  <si>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</si>
  <si>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</si>
  <si>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</si>
  <si>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</si>
  <si>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</si>
  <si>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</si>
  <si>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</si>
  <si>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</si>
  <si>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</si>
  <si>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</si>
  <si>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</si>
  <si>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</si>
  <si>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</si>
  <si>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</si>
  <si>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</si>
  <si>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</si>
  <si>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</si>
  <si>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</si>
  <si>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</si>
  <si>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</si>
  <si>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</si>
  <si>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</si>
  <si>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</si>
  <si>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</si>
  <si>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</si>
  <si>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</si>
  <si>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</si>
  <si>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</si>
  <si>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</si>
  <si>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</si>
  <si>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</si>
  <si>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</si>
  <si>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</si>
  <si>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</si>
  <si>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</si>
  <si>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</si>
  <si>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</si>
  <si>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</si>
  <si>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</si>
  <si>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</si>
  <si>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</si>
  <si>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</si>
  <si>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</si>
  <si>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</si>
  <si>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</si>
  <si>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</si>
  <si>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</si>
  <si>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</si>
  <si>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</si>
  <si>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</si>
  <si>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</si>
  <si>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</si>
  <si>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</si>
  <si>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</si>
  <si>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</si>
  <si>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</si>
  <si>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</si>
  <si>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</si>
  <si>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</si>
  <si>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</si>
  <si>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</si>
  <si>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</si>
  <si>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</si>
  <si>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</si>
  <si>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</si>
  <si>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</si>
  <si>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</si>
  <si>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</si>
  <si>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</si>
  <si>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</si>
  <si>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</si>
  <si>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</si>
  <si>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</si>
  <si>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</si>
  <si>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</si>
  <si>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</si>
  <si>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</si>
  <si>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</si>
  <si>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</si>
  <si>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</si>
  <si>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</si>
  <si>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</si>
  <si>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</si>
  <si>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</si>
  <si>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</si>
  <si>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</si>
  <si>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</si>
  <si>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</si>
  <si>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</si>
  <si>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</si>
  <si>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</si>
  <si>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</si>
  <si>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</si>
  <si>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</si>
  <si>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</si>
  <si>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</si>
  <si>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</si>
  <si>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</si>
  <si>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</si>
  <si>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</si>
  <si>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</si>
  <si>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</si>
  <si>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</si>
  <si>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</si>
  <si>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</si>
  <si>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</si>
  <si>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</si>
  <si>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</si>
  <si>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</si>
  <si>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</si>
  <si>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</si>
  <si>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</si>
  <si>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</si>
  <si>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</si>
  <si>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</si>
  <si>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</si>
  <si>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</si>
  <si>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</si>
  <si>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</si>
  <si>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</si>
  <si>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</si>
  <si>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</si>
  <si>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</si>
  <si>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</si>
  <si>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</si>
  <si>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</si>
  <si>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</si>
  <si>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</si>
  <si>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</si>
  <si>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</si>
  <si>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</si>
  <si>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</si>
  <si>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</si>
  <si>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</si>
  <si>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</si>
  <si>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</si>
  <si>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</si>
  <si>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</si>
  <si>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</si>
  <si>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</si>
  <si>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</si>
  <si>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</si>
  <si>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</si>
  <si>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</si>
  <si>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</si>
  <si>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</si>
  <si>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</si>
  <si>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</si>
  <si>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</si>
  <si>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</si>
  <si>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</si>
  <si>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</si>
  <si>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</si>
  <si>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</si>
  <si>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</si>
  <si>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</si>
  <si>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</si>
  <si>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</si>
  <si>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</si>
  <si>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</si>
  <si>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</si>
  <si>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</si>
  <si>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</si>
  <si>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</si>
  <si>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</si>
  <si>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</si>
  <si>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</si>
  <si>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</si>
  <si>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</si>
  <si>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</si>
  <si>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</si>
  <si>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</si>
  <si>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</si>
  <si>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</si>
  <si>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</si>
  <si>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</si>
  <si>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</si>
  <si>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</si>
  <si>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</si>
  <si>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</si>
  <si>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</si>
  <si>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</si>
  <si>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</si>
  <si>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</si>
  <si>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</si>
  <si>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</si>
  <si>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</si>
  <si>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</si>
  <si>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</si>
  <si>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</si>
  <si>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</si>
  <si>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</si>
  <si>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</si>
  <si>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</si>
  <si>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</si>
  <si>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</si>
  <si>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</si>
  <si>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</si>
  <si>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</si>
  <si>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</si>
  <si>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</si>
  <si>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</si>
  <si>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</si>
  <si>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</si>
  <si>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</si>
  <si>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</si>
  <si>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</si>
  <si>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</si>
  <si>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</si>
  <si>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</si>
  <si>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</si>
  <si>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</si>
  <si>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</si>
  <si>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</si>
  <si>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</si>
  <si>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</si>
  <si>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</si>
  <si>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</si>
  <si>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</si>
  <si>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</si>
  <si>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</si>
  <si>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</si>
  <si>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</si>
  <si>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</si>
  <si>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</si>
  <si>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</si>
  <si>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</si>
  <si>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</si>
  <si>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</si>
  <si>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</si>
  <si>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</si>
  <si>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</si>
  <si>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</si>
  <si>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</si>
  <si>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</si>
  <si>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</si>
  <si>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</si>
  <si>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</si>
  <si>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</si>
  <si>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</si>
  <si>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</si>
  <si>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</si>
  <si>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</si>
  <si>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</si>
  <si>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</si>
  <si>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</si>
  <si>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</si>
  <si>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</si>
  <si>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</si>
  <si>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</si>
  <si>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</si>
  <si>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</si>
  <si>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</si>
  <si>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</si>
  <si>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</si>
  <si>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</si>
  <si>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</si>
  <si>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</si>
  <si>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</si>
  <si>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</si>
  <si>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</si>
  <si>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</si>
  <si>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</si>
  <si>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</si>
  <si>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</si>
  <si>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</si>
  <si>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</si>
  <si>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</si>
  <si>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</si>
  <si>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</si>
  <si>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</si>
  <si>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</si>
  <si>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</si>
  <si>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</si>
  <si>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</si>
  <si>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</si>
  <si>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</si>
  <si>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</si>
  <si>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</si>
  <si>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</si>
  <si>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</si>
  <si>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</si>
  <si>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</si>
  <si>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</si>
  <si>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</si>
  <si>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</si>
  <si>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</si>
  <si>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</si>
  <si>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</si>
  <si>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</si>
  <si>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</si>
  <si>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</si>
  <si>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</si>
  <si>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</si>
  <si>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</si>
  <si>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</si>
  <si>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</si>
  <si>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</si>
  <si>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</si>
  <si>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</si>
  <si>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</si>
  <si>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</si>
  <si>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</si>
  <si>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</si>
  <si>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</si>
  <si>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</si>
  <si>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</si>
  <si>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</si>
  <si>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</si>
  <si>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</si>
  <si>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</si>
  <si>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</si>
  <si>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</si>
  <si>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</si>
  <si>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</si>
  <si>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</si>
  <si>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</si>
  <si>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</si>
  <si>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</si>
  <si>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</si>
  <si>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</si>
  <si>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</si>
  <si>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</si>
  <si>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</si>
  <si>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</si>
  <si>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</si>
  <si>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</si>
  <si>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</si>
  <si>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</si>
  <si>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</si>
  <si>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</si>
  <si>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</si>
  <si>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</si>
  <si>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</si>
  <si>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</si>
  <si>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</si>
  <si>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</si>
  <si>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</si>
  <si>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</si>
  <si>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</si>
  <si>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</si>
  <si>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</si>
  <si>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</si>
  <si>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</si>
  <si>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</si>
  <si>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</si>
  <si>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</si>
  <si>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</si>
  <si>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</si>
  <si>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</si>
  <si>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</si>
  <si>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</si>
  <si>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</si>
  <si>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</si>
  <si>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</si>
  <si>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</si>
  <si>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</si>
  <si>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</si>
  <si>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</si>
  <si>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</si>
  <si>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</si>
  <si>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</si>
  <si>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</si>
  <si>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</si>
  <si>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</si>
  <si>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</si>
  <si>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</si>
  <si>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</si>
  <si>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</si>
  <si>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</si>
  <si>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</si>
  <si>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</si>
  <si>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</si>
  <si>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</si>
  <si>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</si>
  <si>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</si>
  <si>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</si>
  <si>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</si>
  <si>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</si>
  <si>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</si>
  <si>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</si>
  <si>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</si>
  <si>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</si>
  <si>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</si>
  <si>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</si>
  <si>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</si>
  <si>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</si>
  <si>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</si>
  <si>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</si>
  <si>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</si>
  <si>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</si>
  <si>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</si>
  <si>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</si>
  <si>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</si>
  <si>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</si>
  <si>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</si>
  <si>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</si>
  <si>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</si>
  <si>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</si>
  <si>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</si>
  <si>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</si>
  <si>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</si>
  <si>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</si>
  <si>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</si>
  <si>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</si>
  <si>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</si>
  <si>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</si>
  <si>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</si>
  <si>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</si>
  <si>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</si>
  <si>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</si>
  <si>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</si>
  <si>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</si>
  <si>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</si>
  <si>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</si>
  <si>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</si>
  <si>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</si>
  <si>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</si>
  <si>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</si>
  <si>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</si>
  <si>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</si>
  <si>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</si>
  <si>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</si>
  <si>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</si>
  <si>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</si>
  <si>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</si>
  <si>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</si>
  <si>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</si>
  <si>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</si>
  <si>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</si>
  <si>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</si>
  <si>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</si>
  <si>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</si>
  <si>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</si>
  <si>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</si>
  <si>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</si>
  <si>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</si>
  <si>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</si>
  <si>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</si>
  <si>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</si>
  <si>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</si>
  <si>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</si>
  <si>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</si>
  <si>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</si>
  <si>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</si>
  <si>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</si>
  <si>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</si>
  <si>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</si>
  <si>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</si>
  <si>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</si>
  <si>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</si>
  <si>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</si>
  <si>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</si>
  <si>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</si>
  <si>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</si>
  <si>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</si>
  <si>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</si>
  <si>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</si>
  <si>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</si>
  <si>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</si>
  <si>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</si>
  <si>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</si>
  <si>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</si>
  <si>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</si>
  <si>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</si>
  <si>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</si>
  <si>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</si>
  <si>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</si>
  <si>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</si>
  <si>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</si>
  <si>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</si>
  <si>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</si>
  <si>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</si>
  <si>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</si>
  <si>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</si>
  <si>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</si>
  <si>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</si>
  <si>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</si>
  <si>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</si>
  <si>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</si>
  <si>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</si>
  <si>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</si>
  <si>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</si>
  <si>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</si>
  <si>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</si>
  <si>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</si>
  <si>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</si>
  <si>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</si>
  <si>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</si>
  <si>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</si>
  <si>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</si>
  <si>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</si>
  <si>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</si>
  <si>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</si>
  <si>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</si>
  <si>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</si>
  <si>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</si>
  <si>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</si>
  <si>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</si>
  <si>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</si>
  <si>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</si>
  <si>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</si>
  <si>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</si>
  <si>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</si>
  <si>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</si>
  <si>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</si>
  <si>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</si>
  <si>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</si>
  <si>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</si>
  <si>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</si>
  <si>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</si>
  <si>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</si>
  <si>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</si>
  <si>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</si>
  <si>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</si>
  <si>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</si>
  <si>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</si>
  <si>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</si>
  <si>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</si>
  <si>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</si>
  <si>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</si>
  <si>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</si>
  <si>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</si>
  <si>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</si>
  <si>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</si>
  <si>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</si>
  <si>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</si>
  <si>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</si>
  <si>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</si>
  <si>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</si>
  <si>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</si>
  <si>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</si>
  <si>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</si>
  <si>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</si>
  <si>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</si>
  <si>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</si>
  <si>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</si>
  <si>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https://apps.bea.gov/iTable/?reqid=19&amp;step=2&amp;isuri=1&amp;categories=survey#eyJhcHBpZCI6MTksInN0ZXBzIjpbMSwyLDNdLCJkYXRhIjpbWyJjYXRlZ29yaWVzIiwiU3VydmV5Il0sWyJOSVBBX1RhYmxlX0xpc3QiLCI4MSJdXX0=</t>
  </si>
  <si>
    <t>June</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</si>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</sst>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102"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1"/>
      <color theme="1"/>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ont>
    <font>
      <sz val="11"/>
      <color theme="1"/>
      <name val="Arial"/>
    </font>
    <font>
      <sz val="11"/>
      <color theme="1"/>
      <name val="Calibri"/>
      <family val="2"/>
      <scheme val="minor"/>
    </font>
    <font>
      <sz val="10"/>
      <name val="Arial"/>
      <family val="2"/>
    </font>
    <font>
      <b/>
      <sz val="11"/>
      <name val="Calibri"/>
      <family val="2"/>
    </font>
    <font>
      <sz val="9"/>
      <color indexed="81"/>
      <name val="Tahoma"/>
      <charset val="1"/>
    </font>
    <font>
      <sz val="12"/>
      <name val="Arial"/>
    </font>
    <font>
      <sz val="11"/>
      <name val="Arial"/>
      <family val="2"/>
    </font>
    <font>
      <sz val="12"/>
      <name val="Arial"/>
      <family val="2"/>
    </font>
    <font>
      <sz val="12"/>
      <color theme="1"/>
      <name val="Calibri"/>
      <family val="2"/>
      <scheme val="minor"/>
    </font>
    <font>
      <u/>
      <sz val="12"/>
      <color theme="10"/>
      <name val="Arial"/>
      <family val="2"/>
    </font>
    <font>
      <u/>
      <sz val="10"/>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i/>
      <sz val="12"/>
      <color rgb="FF7F7F7F"/>
      <name val="Calibri"/>
      <family val="2"/>
      <scheme val="minor"/>
    </font>
    <font>
      <sz val="9"/>
      <color indexed="81"/>
      <name val="Tahoma"/>
      <family val="2"/>
    </font>
  </fonts>
  <fills count="7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98">
    <xf numFmtId="0" fontId="0" fillId="0" borderId="0"/>
    <xf numFmtId="0" fontId="64" fillId="0" borderId="0" applyNumberFormat="0" applyFill="0" applyBorder="0" applyAlignment="0" applyProtection="0"/>
    <xf numFmtId="9" fontId="70" fillId="0" borderId="0" applyFont="0" applyFill="0" applyBorder="0" applyAlignment="0" applyProtection="0"/>
    <xf numFmtId="0" fontId="71" fillId="0" borderId="0"/>
    <xf numFmtId="0" fontId="74" fillId="0" borderId="0"/>
    <xf numFmtId="0" fontId="71" fillId="0" borderId="0"/>
    <xf numFmtId="0" fontId="76" fillId="0" borderId="0"/>
    <xf numFmtId="0" fontId="70" fillId="0" borderId="0"/>
    <xf numFmtId="0" fontId="76" fillId="0" borderId="0"/>
    <xf numFmtId="9" fontId="76" fillId="0" borderId="0" applyFont="0" applyFill="0" applyBorder="0" applyAlignment="0" applyProtection="0"/>
    <xf numFmtId="43" fontId="70" fillId="0" borderId="0" applyFont="0" applyFill="0" applyBorder="0" applyAlignment="0" applyProtection="0"/>
    <xf numFmtId="0" fontId="70" fillId="0" borderId="0"/>
    <xf numFmtId="0" fontId="70" fillId="0" borderId="0"/>
    <xf numFmtId="0" fontId="71" fillId="0" borderId="0"/>
    <xf numFmtId="0" fontId="77" fillId="0" borderId="0"/>
    <xf numFmtId="0" fontId="71" fillId="0" borderId="0"/>
    <xf numFmtId="0" fontId="76" fillId="0" borderId="0"/>
    <xf numFmtId="0" fontId="70" fillId="0" borderId="0"/>
    <xf numFmtId="0" fontId="78" fillId="0" borderId="0" applyNumberFormat="0" applyFill="0" applyBorder="0" applyAlignment="0" applyProtection="0"/>
    <xf numFmtId="0" fontId="70" fillId="0" borderId="0"/>
    <xf numFmtId="0" fontId="70" fillId="0" borderId="0"/>
    <xf numFmtId="43" fontId="70" fillId="0" borderId="0" applyFont="0" applyFill="0" applyBorder="0" applyAlignment="0" applyProtection="0"/>
    <xf numFmtId="0" fontId="70" fillId="0" borderId="0"/>
    <xf numFmtId="0" fontId="76" fillId="0" borderId="0"/>
    <xf numFmtId="0" fontId="11" fillId="0" borderId="0" applyNumberFormat="0" applyFill="0" applyBorder="0" applyAlignment="0" applyProtection="0"/>
    <xf numFmtId="0" fontId="70" fillId="0" borderId="0"/>
    <xf numFmtId="0" fontId="70" fillId="0" borderId="0"/>
    <xf numFmtId="43" fontId="76" fillId="0" borderId="0" applyFont="0" applyFill="0" applyBorder="0" applyAlignment="0" applyProtection="0"/>
    <xf numFmtId="0" fontId="70" fillId="0" borderId="0"/>
    <xf numFmtId="43" fontId="70" fillId="0" borderId="0" applyFont="0" applyFill="0" applyBorder="0" applyAlignment="0" applyProtection="0"/>
    <xf numFmtId="0" fontId="11" fillId="0" borderId="0" applyNumberFormat="0" applyFill="0" applyBorder="0" applyAlignment="0" applyProtection="0"/>
    <xf numFmtId="0" fontId="76" fillId="0" borderId="0"/>
    <xf numFmtId="0" fontId="11" fillId="0" borderId="0">
      <alignment vertical="top"/>
      <protection locked="0"/>
    </xf>
    <xf numFmtId="0" fontId="11" fillId="0" borderId="0"/>
    <xf numFmtId="0" fontId="71" fillId="0" borderId="0"/>
    <xf numFmtId="0" fontId="11" fillId="0" borderId="0" applyNumberFormat="0" applyFill="0" applyBorder="0" applyAlignment="0" applyProtection="0">
      <alignment vertical="top"/>
      <protection locked="0"/>
    </xf>
    <xf numFmtId="0" fontId="71" fillId="0" borderId="0"/>
    <xf numFmtId="0" fontId="71" fillId="0" borderId="0"/>
    <xf numFmtId="0" fontId="70" fillId="0" borderId="0"/>
    <xf numFmtId="0" fontId="76" fillId="0" borderId="0"/>
    <xf numFmtId="43" fontId="71" fillId="0" borderId="0" applyFont="0" applyFill="0" applyBorder="0" applyAlignment="0" applyProtection="0"/>
    <xf numFmtId="0" fontId="77" fillId="0" borderId="0"/>
    <xf numFmtId="0" fontId="71" fillId="0" borderId="0"/>
    <xf numFmtId="9" fontId="71" fillId="0" borderId="0" applyFont="0" applyFill="0" applyBorder="0" applyAlignment="0" applyProtection="0"/>
    <xf numFmtId="0" fontId="76" fillId="0" borderId="0"/>
    <xf numFmtId="43" fontId="71" fillId="0" borderId="0" applyFont="0" applyFill="0" applyBorder="0" applyAlignment="0" applyProtection="0"/>
    <xf numFmtId="43" fontId="71" fillId="0" borderId="0" applyFont="0" applyFill="0" applyBorder="0" applyAlignment="0" applyProtection="0"/>
    <xf numFmtId="0" fontId="13" fillId="0" borderId="0" applyNumberFormat="0" applyFill="0" applyBorder="0" applyAlignment="0" applyProtection="0">
      <alignment vertical="top"/>
      <protection locked="0"/>
    </xf>
    <xf numFmtId="0" fontId="71" fillId="0" borderId="0"/>
    <xf numFmtId="0" fontId="78" fillId="0" borderId="0" applyNumberFormat="0" applyFill="0" applyBorder="0" applyAlignment="0" applyProtection="0"/>
    <xf numFmtId="9" fontId="70" fillId="0" borderId="0" applyFont="0" applyFill="0" applyBorder="0" applyAlignment="0" applyProtection="0"/>
    <xf numFmtId="0" fontId="71" fillId="0" borderId="0"/>
    <xf numFmtId="0" fontId="70" fillId="0" borderId="0"/>
    <xf numFmtId="0" fontId="76" fillId="0" borderId="0"/>
    <xf numFmtId="0" fontId="80" fillId="0" borderId="0" applyNumberFormat="0" applyFill="0" applyBorder="0" applyAlignment="0" applyProtection="0">
      <alignment vertical="top"/>
      <protection locked="0"/>
    </xf>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0" fillId="0" borderId="0"/>
    <xf numFmtId="0" fontId="70"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1"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2"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40" fillId="47" borderId="0" applyNumberFormat="0" applyBorder="0" applyAlignment="0" applyProtection="0"/>
    <xf numFmtId="0" fontId="40" fillId="51" borderId="0" applyNumberFormat="0" applyBorder="0" applyAlignment="0" applyProtection="0"/>
    <xf numFmtId="0" fontId="40" fillId="55" borderId="0" applyNumberFormat="0" applyBorder="0" applyAlignment="0" applyProtection="0"/>
    <xf numFmtId="0" fontId="40" fillId="59" borderId="0" applyNumberFormat="0" applyBorder="0" applyAlignment="0" applyProtection="0"/>
    <xf numFmtId="0" fontId="40" fillId="63" borderId="0" applyNumberFormat="0" applyBorder="0" applyAlignment="0" applyProtection="0"/>
    <xf numFmtId="0" fontId="40" fillId="67"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0" fontId="40" fillId="64" borderId="0" applyNumberFormat="0" applyBorder="0" applyAlignment="0" applyProtection="0"/>
    <xf numFmtId="0" fontId="40" fillId="68" borderId="0" applyNumberFormat="0" applyBorder="0" applyAlignment="0" applyProtection="0"/>
    <xf numFmtId="0" fontId="81" fillId="49" borderId="0" applyNumberFormat="0" applyBorder="0" applyAlignment="0" applyProtection="0"/>
    <xf numFmtId="0" fontId="81" fillId="53" borderId="0" applyNumberFormat="0" applyBorder="0" applyAlignment="0" applyProtection="0"/>
    <xf numFmtId="0" fontId="81" fillId="57" borderId="0" applyNumberFormat="0" applyBorder="0" applyAlignment="0" applyProtection="0"/>
    <xf numFmtId="0" fontId="81" fillId="61" borderId="0" applyNumberFormat="0" applyBorder="0" applyAlignment="0" applyProtection="0"/>
    <xf numFmtId="0" fontId="81" fillId="65" borderId="0" applyNumberFormat="0" applyBorder="0" applyAlignment="0" applyProtection="0"/>
    <xf numFmtId="0" fontId="81" fillId="69" borderId="0" applyNumberFormat="0" applyBorder="0" applyAlignment="0" applyProtection="0"/>
    <xf numFmtId="0" fontId="81" fillId="46" borderId="0" applyNumberFormat="0" applyBorder="0" applyAlignment="0" applyProtection="0"/>
    <xf numFmtId="0" fontId="81" fillId="50" borderId="0" applyNumberFormat="0" applyBorder="0" applyAlignment="0" applyProtection="0"/>
    <xf numFmtId="0" fontId="81" fillId="54" borderId="0" applyNumberFormat="0" applyBorder="0" applyAlignment="0" applyProtection="0"/>
    <xf numFmtId="0" fontId="81" fillId="58" borderId="0" applyNumberFormat="0" applyBorder="0" applyAlignment="0" applyProtection="0"/>
    <xf numFmtId="0" fontId="81" fillId="62" borderId="0" applyNumberFormat="0" applyBorder="0" applyAlignment="0" applyProtection="0"/>
    <xf numFmtId="0" fontId="81" fillId="66" borderId="0" applyNumberFormat="0" applyBorder="0" applyAlignment="0" applyProtection="0"/>
    <xf numFmtId="0" fontId="82" fillId="40" borderId="0" applyNumberFormat="0" applyBorder="0" applyAlignment="0" applyProtection="0"/>
    <xf numFmtId="0" fontId="83" fillId="43" borderId="76" applyNumberFormat="0" applyAlignment="0" applyProtection="0"/>
    <xf numFmtId="0" fontId="84" fillId="44" borderId="79" applyNumberFormat="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3" fontId="71" fillId="0" borderId="0" applyFont="0" applyFill="0" applyBorder="0" applyAlignment="0" applyProtection="0"/>
    <xf numFmtId="44" fontId="85" fillId="0" borderId="0" applyFont="0" applyFill="0" applyBorder="0" applyAlignment="0" applyProtection="0"/>
    <xf numFmtId="44" fontId="85" fillId="0" borderId="0" applyFont="0" applyFill="0" applyBorder="0" applyAlignment="0" applyProtection="0"/>
    <xf numFmtId="0" fontId="86" fillId="0" borderId="0" applyNumberFormat="0" applyFill="0" applyBorder="0" applyAlignment="0" applyProtection="0"/>
    <xf numFmtId="0" fontId="87" fillId="39" borderId="0" applyNumberFormat="0" applyBorder="0" applyAlignment="0" applyProtection="0"/>
    <xf numFmtId="0" fontId="88" fillId="0" borderId="73" applyNumberFormat="0" applyFill="0" applyAlignment="0" applyProtection="0"/>
    <xf numFmtId="0" fontId="89" fillId="0" borderId="74" applyNumberFormat="0" applyFill="0" applyAlignment="0" applyProtection="0"/>
    <xf numFmtId="0" fontId="90" fillId="0" borderId="75" applyNumberFormat="0" applyFill="0" applyAlignment="0" applyProtection="0"/>
    <xf numFmtId="0" fontId="90" fillId="0" borderId="0" applyNumberFormat="0" applyFill="0" applyBorder="0" applyAlignment="0" applyProtection="0"/>
    <xf numFmtId="0" fontId="91" fillId="42" borderId="76" applyNumberFormat="0" applyAlignment="0" applyProtection="0"/>
    <xf numFmtId="0" fontId="92" fillId="0" borderId="78" applyNumberFormat="0" applyFill="0" applyAlignment="0" applyProtection="0"/>
    <xf numFmtId="0" fontId="93" fillId="41" borderId="0" applyNumberFormat="0" applyBorder="0" applyAlignment="0" applyProtection="0"/>
    <xf numFmtId="0" fontId="71" fillId="0" borderId="0"/>
    <xf numFmtId="0" fontId="70" fillId="0" borderId="0"/>
    <xf numFmtId="0" fontId="70" fillId="0" borderId="0"/>
    <xf numFmtId="0" fontId="70" fillId="0" borderId="0"/>
    <xf numFmtId="0" fontId="71" fillId="0" borderId="0"/>
    <xf numFmtId="0" fontId="70" fillId="0" borderId="0"/>
    <xf numFmtId="0" fontId="70" fillId="0" borderId="0"/>
    <xf numFmtId="0" fontId="70" fillId="0" borderId="0"/>
    <xf numFmtId="0" fontId="71" fillId="0" borderId="0"/>
    <xf numFmtId="0" fontId="70" fillId="0" borderId="0"/>
    <xf numFmtId="0" fontId="70" fillId="0" borderId="0"/>
    <xf numFmtId="0" fontId="70" fillId="0" borderId="0"/>
    <xf numFmtId="0" fontId="71" fillId="0" borderId="0"/>
    <xf numFmtId="0" fontId="71" fillId="0" borderId="0"/>
    <xf numFmtId="0" fontId="71" fillId="0" borderId="0"/>
    <xf numFmtId="0" fontId="71" fillId="0" borderId="0"/>
    <xf numFmtId="0" fontId="40" fillId="0" borderId="0"/>
    <xf numFmtId="0" fontId="7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71" fillId="0" borderId="0"/>
    <xf numFmtId="0" fontId="95" fillId="0" borderId="0"/>
    <xf numFmtId="0" fontId="95" fillId="0" borderId="0"/>
    <xf numFmtId="0" fontId="95" fillId="0" borderId="0"/>
    <xf numFmtId="0" fontId="95" fillId="0" borderId="0"/>
    <xf numFmtId="0" fontId="76" fillId="0" borderId="0"/>
    <xf numFmtId="0" fontId="76" fillId="0" borderId="0"/>
    <xf numFmtId="0" fontId="76" fillId="0" borderId="0"/>
    <xf numFmtId="0" fontId="71" fillId="0" borderId="0"/>
    <xf numFmtId="0" fontId="71" fillId="0" borderId="0"/>
    <xf numFmtId="0" fontId="70" fillId="0" borderId="0"/>
    <xf numFmtId="0" fontId="71" fillId="0" borderId="0"/>
    <xf numFmtId="0" fontId="70" fillId="45" borderId="80" applyNumberFormat="0" applyFont="0" applyAlignment="0" applyProtection="0"/>
    <xf numFmtId="0" fontId="70" fillId="45" borderId="80" applyNumberFormat="0" applyFont="0" applyAlignment="0" applyProtection="0"/>
    <xf numFmtId="0" fontId="70" fillId="45" borderId="80" applyNumberFormat="0" applyFont="0" applyAlignment="0" applyProtection="0"/>
    <xf numFmtId="0" fontId="40" fillId="45" borderId="80" applyNumberFormat="0" applyFont="0" applyAlignment="0" applyProtection="0"/>
    <xf numFmtId="0" fontId="96" fillId="43" borderId="77" applyNumberFormat="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0" fontId="30" fillId="0" borderId="81" applyNumberFormat="0" applyFill="0" applyAlignment="0" applyProtection="0"/>
    <xf numFmtId="0" fontId="97" fillId="0" borderId="0" applyNumberFormat="0" applyFill="0" applyBorder="0" applyAlignment="0" applyProtection="0"/>
    <xf numFmtId="0" fontId="64" fillId="0" borderId="0" applyNumberFormat="0" applyFill="0" applyBorder="0" applyAlignment="0" applyProtection="0"/>
    <xf numFmtId="0" fontId="4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0" fillId="0" borderId="0"/>
    <xf numFmtId="0" fontId="70"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6"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9" fontId="71"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9" fillId="0" borderId="0" applyNumberFormat="0" applyFill="0" applyBorder="0" applyAlignment="0" applyProtection="0"/>
    <xf numFmtId="0" fontId="76" fillId="0" borderId="0"/>
    <xf numFmtId="0" fontId="71" fillId="0" borderId="0"/>
    <xf numFmtId="0" fontId="98" fillId="0" borderId="0" applyFont="0" applyFill="0" applyBorder="0" applyAlignment="0" applyProtection="0"/>
    <xf numFmtId="0" fontId="99" fillId="0" borderId="0"/>
    <xf numFmtId="43"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43" fontId="76" fillId="0" borderId="0" applyFont="0" applyFill="0" applyBorder="0" applyAlignment="0" applyProtection="0"/>
    <xf numFmtId="0" fontId="70" fillId="0" borderId="0"/>
    <xf numFmtId="0" fontId="78" fillId="0" borderId="0" applyNumberFormat="0" applyFill="0" applyBorder="0" applyAlignment="0" applyProtection="0"/>
    <xf numFmtId="9" fontId="70" fillId="0" borderId="0" applyFont="0" applyFill="0" applyBorder="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45" borderId="80" applyNumberFormat="0" applyFont="0" applyAlignment="0" applyProtection="0"/>
    <xf numFmtId="0" fontId="70" fillId="45" borderId="80" applyNumberFormat="0" applyFont="0" applyAlignment="0" applyProtection="0"/>
    <xf numFmtId="0" fontId="70" fillId="45" borderId="80" applyNumberFormat="0" applyFont="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0" fillId="0" borderId="0"/>
    <xf numFmtId="0" fontId="11" fillId="0" borderId="0" applyNumberFormat="0" applyFill="0" applyBorder="0" applyAlignment="0" applyProtection="0"/>
    <xf numFmtId="0" fontId="77" fillId="0" borderId="0"/>
    <xf numFmtId="43" fontId="70" fillId="0" borderId="0" applyFont="0" applyFill="0" applyBorder="0" applyAlignment="0" applyProtection="0"/>
    <xf numFmtId="43" fontId="76" fillId="0" borderId="0" applyFont="0" applyFill="0" applyBorder="0" applyAlignment="0" applyProtection="0"/>
    <xf numFmtId="0" fontId="76" fillId="0" borderId="0"/>
    <xf numFmtId="0" fontId="76" fillId="0" borderId="0"/>
    <xf numFmtId="43" fontId="70" fillId="0" borderId="0" applyFont="0" applyFill="0" applyBorder="0" applyAlignment="0" applyProtection="0"/>
    <xf numFmtId="0" fontId="100" fillId="0" borderId="0" applyNumberFormat="0" applyFill="0" applyBorder="0" applyAlignment="0" applyProtection="0"/>
  </cellStyleXfs>
  <cellXfs count="1513">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3" fillId="8" borderId="15" xfId="0" applyFont="1" applyFill="1" applyBorder="1"/>
    <xf numFmtId="0" fontId="4" fillId="8"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8" borderId="15" xfId="0" applyFont="1" applyFill="1" applyBorder="1" applyAlignment="1">
      <alignment horizontal="left"/>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165" fontId="1" fillId="0" borderId="0" xfId="0" applyNumberFormat="1" applyFont="1"/>
    <xf numFmtId="9" fontId="1" fillId="0" borderId="8" xfId="0" applyNumberFormat="1" applyFont="1" applyBorder="1"/>
    <xf numFmtId="0" fontId="1" fillId="0" borderId="0" xfId="0" applyFont="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applyAlignment="1">
      <alignment horizontal="center"/>
    </xf>
    <xf numFmtId="165" fontId="14" fillId="8" borderId="27" xfId="0" applyNumberFormat="1" applyFont="1" applyFill="1" applyBorder="1" applyAlignment="1">
      <alignment horizontal="right"/>
    </xf>
    <xf numFmtId="165" fontId="14" fillId="8" borderId="17" xfId="0" applyNumberFormat="1" applyFont="1" applyFill="1" applyBorder="1" applyAlignment="1">
      <alignment horizontal="right"/>
    </xf>
    <xf numFmtId="165" fontId="14" fillId="8" borderId="28" xfId="0" applyNumberFormat="1" applyFont="1" applyFill="1" applyBorder="1" applyAlignment="1">
      <alignment horizontal="right"/>
    </xf>
    <xf numFmtId="165" fontId="14" fillId="8" borderId="29" xfId="0" applyNumberFormat="1" applyFont="1" applyFill="1" applyBorder="1" applyAlignment="1">
      <alignment horizontal="right"/>
    </xf>
    <xf numFmtId="165" fontId="14" fillId="0" borderId="30" xfId="0" applyNumberFormat="1" applyFont="1" applyBorder="1" applyAlignment="1">
      <alignment horizontal="right"/>
    </xf>
    <xf numFmtId="165" fontId="14" fillId="0" borderId="0" xfId="0" applyNumberFormat="1" applyFont="1" applyAlignment="1">
      <alignment horizontal="right"/>
    </xf>
    <xf numFmtId="165" fontId="14" fillId="0" borderId="31" xfId="0" applyNumberFormat="1" applyFont="1" applyBorder="1" applyAlignment="1">
      <alignment horizontal="right"/>
    </xf>
    <xf numFmtId="165" fontId="14" fillId="0" borderId="32" xfId="0" applyNumberFormat="1" applyFont="1" applyBorder="1" applyAlignment="1">
      <alignment horizontal="right"/>
    </xf>
    <xf numFmtId="165" fontId="1" fillId="8" borderId="30" xfId="0" applyNumberFormat="1" applyFont="1" applyFill="1" applyBorder="1" applyAlignment="1">
      <alignment horizontal="right"/>
    </xf>
    <xf numFmtId="165" fontId="1" fillId="8" borderId="0" xfId="0" applyNumberFormat="1" applyFont="1" applyFill="1" applyAlignment="1">
      <alignment horizontal="right"/>
    </xf>
    <xf numFmtId="0" fontId="1" fillId="0" borderId="33" xfId="0" applyFont="1" applyBorder="1"/>
    <xf numFmtId="165" fontId="1" fillId="8" borderId="31" xfId="0" applyNumberFormat="1" applyFont="1" applyFill="1" applyBorder="1" applyAlignment="1">
      <alignment horizontal="right"/>
    </xf>
    <xf numFmtId="165" fontId="1" fillId="8" borderId="32" xfId="0" applyNumberFormat="1" applyFont="1" applyFill="1" applyBorder="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165" fontId="1" fillId="0" borderId="31" xfId="0" applyNumberFormat="1" applyFont="1" applyBorder="1" applyAlignment="1">
      <alignment horizontal="right"/>
    </xf>
    <xf numFmtId="165" fontId="1" fillId="0" borderId="32" xfId="0" applyNumberFormat="1" applyFont="1" applyBorder="1" applyAlignment="1">
      <alignment horizontal="right"/>
    </xf>
    <xf numFmtId="165" fontId="14" fillId="8" borderId="30" xfId="0" applyNumberFormat="1" applyFont="1" applyFill="1" applyBorder="1" applyAlignment="1">
      <alignment horizontal="right"/>
    </xf>
    <xf numFmtId="165" fontId="14" fillId="8" borderId="0" xfId="0" applyNumberFormat="1" applyFont="1" applyFill="1" applyAlignment="1">
      <alignment horizontal="right"/>
    </xf>
    <xf numFmtId="165" fontId="14" fillId="8" borderId="31" xfId="0" applyNumberFormat="1" applyFont="1" applyFill="1" applyBorder="1" applyAlignment="1">
      <alignment horizontal="right"/>
    </xf>
    <xf numFmtId="165" fontId="14" fillId="8" borderId="32" xfId="0" applyNumberFormat="1" applyFont="1" applyFill="1" applyBorder="1" applyAlignment="1">
      <alignment horizontal="right"/>
    </xf>
    <xf numFmtId="0" fontId="1" fillId="0" borderId="34" xfId="0" applyFont="1" applyBorder="1"/>
    <xf numFmtId="165" fontId="14" fillId="0" borderId="35" xfId="0" applyNumberFormat="1" applyFont="1" applyBorder="1" applyAlignment="1">
      <alignment horizontal="right"/>
    </xf>
    <xf numFmtId="165" fontId="14" fillId="0" borderId="22" xfId="0" applyNumberFormat="1" applyFont="1" applyBorder="1" applyAlignment="1">
      <alignment horizontal="right"/>
    </xf>
    <xf numFmtId="165" fontId="14" fillId="0" borderId="36" xfId="0" applyNumberFormat="1" applyFont="1" applyBorder="1" applyAlignment="1">
      <alignment horizontal="right"/>
    </xf>
    <xf numFmtId="165" fontId="14" fillId="0" borderId="37" xfId="0" applyNumberFormat="1" applyFont="1" applyBorder="1" applyAlignment="1">
      <alignment horizontal="right"/>
    </xf>
    <xf numFmtId="2" fontId="1" fillId="0" borderId="0" xfId="0" applyNumberFormat="1" applyFont="1"/>
    <xf numFmtId="0" fontId="1" fillId="0" borderId="38" xfId="0" applyFont="1" applyBorder="1"/>
    <xf numFmtId="2" fontId="1" fillId="10" borderId="3" xfId="0" applyNumberFormat="1" applyFont="1" applyFill="1" applyBorder="1"/>
    <xf numFmtId="0" fontId="1" fillId="0" borderId="39" xfId="0" applyFont="1" applyBorder="1" applyAlignment="1">
      <alignment horizontal="center"/>
    </xf>
    <xf numFmtId="0" fontId="1" fillId="0" borderId="40" xfId="0" applyFont="1" applyBorder="1"/>
    <xf numFmtId="0" fontId="3" fillId="8" borderId="0" xfId="0" applyFont="1" applyFill="1"/>
    <xf numFmtId="0" fontId="1" fillId="8"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41" xfId="0" applyFont="1" applyFill="1" applyBorder="1"/>
    <xf numFmtId="0" fontId="1" fillId="0" borderId="0" xfId="0" applyFont="1" applyAlignment="1">
      <alignment horizontal="left" vertical="center" indent="2"/>
    </xf>
    <xf numFmtId="0" fontId="13" fillId="0" borderId="0" xfId="0" applyFont="1"/>
    <xf numFmtId="0" fontId="3" fillId="8" borderId="42" xfId="0" applyFont="1" applyFill="1" applyBorder="1"/>
    <xf numFmtId="0" fontId="3" fillId="0" borderId="15" xfId="0" applyFont="1" applyBorder="1"/>
    <xf numFmtId="165" fontId="3" fillId="8" borderId="27" xfId="0" applyNumberFormat="1" applyFont="1" applyFill="1" applyBorder="1" applyAlignment="1">
      <alignment horizontal="right"/>
    </xf>
    <xf numFmtId="165" fontId="3" fillId="0" borderId="30" xfId="0" applyNumberFormat="1" applyFont="1" applyBorder="1" applyAlignment="1">
      <alignment horizontal="right"/>
    </xf>
    <xf numFmtId="0" fontId="1" fillId="8" borderId="15" xfId="0" applyFont="1" applyFill="1" applyBorder="1"/>
    <xf numFmtId="165" fontId="3" fillId="8" borderId="28" xfId="0" applyNumberFormat="1" applyFont="1" applyFill="1" applyBorder="1" applyAlignment="1">
      <alignment horizontal="right"/>
    </xf>
    <xf numFmtId="165" fontId="3" fillId="0" borderId="31" xfId="0" applyNumberFormat="1" applyFont="1" applyBorder="1" applyAlignment="1">
      <alignment horizontal="right"/>
    </xf>
    <xf numFmtId="165" fontId="3" fillId="8" borderId="30" xfId="0" applyNumberFormat="1" applyFont="1" applyFill="1" applyBorder="1" applyAlignment="1">
      <alignment horizontal="right"/>
    </xf>
    <xf numFmtId="165" fontId="3" fillId="8" borderId="31" xfId="0" applyNumberFormat="1" applyFont="1" applyFill="1" applyBorder="1" applyAlignment="1">
      <alignment horizontal="right"/>
    </xf>
    <xf numFmtId="165" fontId="3" fillId="0" borderId="36" xfId="0" applyNumberFormat="1" applyFont="1" applyBorder="1" applyAlignment="1">
      <alignment horizontal="right"/>
    </xf>
    <xf numFmtId="165" fontId="3" fillId="0" borderId="35" xfId="0" applyNumberFormat="1" applyFont="1" applyBorder="1" applyAlignment="1">
      <alignment horizontal="right"/>
    </xf>
    <xf numFmtId="0" fontId="1" fillId="0" borderId="15" xfId="0" applyFont="1" applyBorder="1"/>
    <xf numFmtId="0" fontId="16" fillId="0" borderId="0" xfId="0" applyFont="1"/>
    <xf numFmtId="0" fontId="1" fillId="11" borderId="0" xfId="0" applyFont="1" applyFill="1" applyAlignment="1">
      <alignment horizontal="center"/>
    </xf>
    <xf numFmtId="0" fontId="4" fillId="0" borderId="0" xfId="0" applyFont="1" applyAlignment="1">
      <alignment wrapText="1"/>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19" fillId="0" borderId="45" xfId="0" applyFont="1" applyBorder="1" applyAlignment="1">
      <alignment horizontal="center" vertical="center"/>
    </xf>
    <xf numFmtId="0" fontId="3" fillId="0" borderId="43" xfId="0" applyFont="1" applyBorder="1" applyAlignment="1">
      <alignment horizontal="center" vertical="center"/>
    </xf>
    <xf numFmtId="0" fontId="2" fillId="12" borderId="0" xfId="0" applyFont="1" applyFill="1" applyAlignment="1">
      <alignment horizontal="center"/>
    </xf>
    <xf numFmtId="0" fontId="2" fillId="11" borderId="1" xfId="0" applyFont="1" applyFill="1" applyBorder="1" applyAlignment="1">
      <alignment horizontal="center"/>
    </xf>
    <xf numFmtId="0" fontId="19" fillId="0" borderId="46" xfId="0" applyFont="1" applyBorder="1" applyAlignment="1">
      <alignment horizontal="center" vertical="center"/>
    </xf>
    <xf numFmtId="10" fontId="1" fillId="0" borderId="0" xfId="0" applyNumberFormat="1" applyFont="1"/>
    <xf numFmtId="0" fontId="20" fillId="0" borderId="0" xfId="0" applyFont="1"/>
    <xf numFmtId="0" fontId="19" fillId="0" borderId="47"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10" borderId="48" xfId="0" applyNumberFormat="1" applyFont="1" applyFill="1" applyBorder="1"/>
    <xf numFmtId="0" fontId="14" fillId="0" borderId="0" xfId="0" applyFont="1"/>
    <xf numFmtId="0" fontId="2" fillId="11"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2"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0" borderId="49" xfId="0" applyFont="1" applyBorder="1"/>
    <xf numFmtId="0" fontId="2" fillId="0" borderId="50" xfId="0" applyFont="1" applyBorder="1"/>
    <xf numFmtId="0" fontId="2" fillId="0" borderId="51" xfId="0" applyFont="1" applyBorder="1" applyAlignment="1">
      <alignment horizontal="center"/>
    </xf>
    <xf numFmtId="0" fontId="2" fillId="0" borderId="50" xfId="0" applyFont="1" applyBorder="1" applyAlignment="1">
      <alignment horizontal="center"/>
    </xf>
    <xf numFmtId="165" fontId="2" fillId="0" borderId="50" xfId="0" applyNumberFormat="1" applyFont="1" applyBorder="1" applyAlignment="1">
      <alignment horizontal="center"/>
    </xf>
    <xf numFmtId="168" fontId="2" fillId="0" borderId="50" xfId="0" applyNumberFormat="1" applyFont="1" applyBorder="1" applyAlignment="1">
      <alignment horizontal="center"/>
    </xf>
    <xf numFmtId="168" fontId="2" fillId="7" borderId="50" xfId="0" applyNumberFormat="1" applyFont="1" applyFill="1" applyBorder="1"/>
    <xf numFmtId="168" fontId="2" fillId="7" borderId="52" xfId="0" applyNumberFormat="1" applyFont="1" applyFill="1" applyBorder="1"/>
    <xf numFmtId="168" fontId="2" fillId="13" borderId="50" xfId="0" applyNumberFormat="1" applyFont="1" applyFill="1" applyBorder="1" applyAlignment="1">
      <alignment horizontal="center"/>
    </xf>
    <xf numFmtId="4" fontId="2" fillId="13" borderId="53" xfId="0" applyNumberFormat="1" applyFont="1" applyFill="1" applyBorder="1" applyAlignment="1">
      <alignment horizontal="center"/>
    </xf>
    <xf numFmtId="0" fontId="2" fillId="11" borderId="44" xfId="0" applyFont="1" applyFill="1" applyBorder="1"/>
    <xf numFmtId="0" fontId="2" fillId="0" borderId="0" xfId="0" applyFont="1" applyAlignment="1">
      <alignment horizontal="center"/>
    </xf>
    <xf numFmtId="0" fontId="2" fillId="0" borderId="0" xfId="0" applyFont="1" applyAlignment="1">
      <alignment horizontal="left" vertical="top" wrapText="1"/>
    </xf>
    <xf numFmtId="165" fontId="2" fillId="0" borderId="0" xfId="0" applyNumberFormat="1" applyFont="1" applyAlignment="1">
      <alignment horizontal="center"/>
    </xf>
    <xf numFmtId="0" fontId="2" fillId="0" borderId="0" xfId="0" applyFont="1" applyAlignment="1">
      <alignment horizontal="center" wrapText="1"/>
    </xf>
    <xf numFmtId="0" fontId="2" fillId="0" borderId="0" xfId="0" applyFont="1"/>
    <xf numFmtId="3" fontId="2" fillId="0" borderId="0" xfId="0" applyNumberFormat="1" applyFont="1" applyAlignment="1">
      <alignment horizontal="center"/>
    </xf>
    <xf numFmtId="3" fontId="23" fillId="11" borderId="0" xfId="0" applyNumberFormat="1" applyFont="1" applyFill="1" applyAlignment="1">
      <alignment horizontal="center"/>
    </xf>
    <xf numFmtId="3" fontId="23" fillId="7" borderId="0" xfId="0" applyNumberFormat="1" applyFont="1" applyFill="1" applyAlignment="1">
      <alignment horizontal="center"/>
    </xf>
    <xf numFmtId="3" fontId="2" fillId="7" borderId="44" xfId="0" applyNumberFormat="1" applyFont="1" applyFill="1" applyBorder="1" applyAlignment="1">
      <alignment horizontal="center"/>
    </xf>
    <xf numFmtId="0" fontId="2" fillId="11" borderId="0" xfId="0" applyFont="1" applyFill="1" applyAlignment="1">
      <alignment horizontal="center" wrapText="1"/>
    </xf>
    <xf numFmtId="3" fontId="23" fillId="0" borderId="0" xfId="0" applyNumberFormat="1" applyFont="1" applyAlignment="1">
      <alignment horizontal="center"/>
    </xf>
    <xf numFmtId="4" fontId="2" fillId="7" borderId="3" xfId="0" applyNumberFormat="1" applyFont="1" applyFill="1" applyBorder="1" applyAlignment="1">
      <alignment horizontal="center"/>
    </xf>
    <xf numFmtId="0" fontId="2" fillId="11" borderId="2" xfId="0" applyFont="1" applyFill="1" applyBorder="1"/>
    <xf numFmtId="3" fontId="2" fillId="11" borderId="0" xfId="0" applyNumberFormat="1" applyFont="1" applyFill="1" applyAlignment="1">
      <alignment horizontal="center"/>
    </xf>
    <xf numFmtId="165" fontId="23" fillId="0" borderId="0" xfId="0" applyNumberFormat="1" applyFont="1" applyAlignment="1">
      <alignment horizontal="center"/>
    </xf>
    <xf numFmtId="0" fontId="2" fillId="0" borderId="4" xfId="0" applyFont="1" applyBorder="1" applyAlignment="1">
      <alignment horizontal="center"/>
    </xf>
    <xf numFmtId="0" fontId="2" fillId="0" borderId="44" xfId="0" applyFont="1" applyBorder="1" applyAlignment="1">
      <alignment horizontal="center"/>
    </xf>
    <xf numFmtId="3" fontId="23" fillId="11" borderId="3" xfId="0" applyNumberFormat="1" applyFont="1" applyFill="1" applyBorder="1" applyAlignment="1">
      <alignment horizontal="center"/>
    </xf>
    <xf numFmtId="0" fontId="2" fillId="11" borderId="3" xfId="0" applyFont="1" applyFill="1" applyBorder="1" applyAlignment="1">
      <alignment horizontal="center" wrapText="1"/>
    </xf>
    <xf numFmtId="3" fontId="2" fillId="7" borderId="0" xfId="0" applyNumberFormat="1" applyFont="1" applyFill="1" applyAlignment="1">
      <alignment horizontal="center"/>
    </xf>
    <xf numFmtId="165" fontId="2" fillId="7" borderId="0" xfId="0" applyNumberFormat="1" applyFont="1" applyFill="1" applyAlignment="1">
      <alignment horizontal="center"/>
    </xf>
    <xf numFmtId="165" fontId="23" fillId="0" borderId="1" xfId="0" applyNumberFormat="1" applyFont="1" applyBorder="1" applyAlignment="1">
      <alignment horizontal="center"/>
    </xf>
    <xf numFmtId="3" fontId="2" fillId="7" borderId="2" xfId="0" applyNumberFormat="1" applyFont="1" applyFill="1" applyBorder="1" applyAlignment="1">
      <alignment horizontal="center"/>
    </xf>
    <xf numFmtId="0" fontId="23" fillId="0" borderId="0" xfId="0" applyFont="1"/>
    <xf numFmtId="0" fontId="2" fillId="7"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165" fontId="2" fillId="7" borderId="3"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 fillId="0" borderId="1" xfId="0" applyFont="1" applyBorder="1" applyAlignment="1">
      <alignment horizontal="left" wrapText="1"/>
    </xf>
    <xf numFmtId="0" fontId="23" fillId="0" borderId="1" xfId="0" applyFont="1" applyBorder="1" applyAlignment="1">
      <alignment horizontal="left" wrapText="1"/>
    </xf>
    <xf numFmtId="168" fontId="2" fillId="0" borderId="0" xfId="0" applyNumberFormat="1" applyFont="1"/>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12" xfId="0" applyFont="1" applyFill="1" applyBorder="1" applyAlignment="1">
      <alignment horizontal="center"/>
    </xf>
    <xf numFmtId="0" fontId="23" fillId="0" borderId="0" xfId="0" applyFont="1" applyAlignment="1">
      <alignment horizontal="left" wrapText="1"/>
    </xf>
    <xf numFmtId="0" fontId="2" fillId="0" borderId="5" xfId="0" applyFont="1" applyBorder="1" applyAlignment="1">
      <alignment horizontal="left"/>
    </xf>
    <xf numFmtId="3" fontId="2" fillId="7" borderId="5" xfId="0" applyNumberFormat="1" applyFont="1" applyFill="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6" xfId="0" applyNumberFormat="1" applyFont="1" applyBorder="1"/>
    <xf numFmtId="0" fontId="3" fillId="3" borderId="2" xfId="0" applyFont="1" applyFill="1" applyBorder="1"/>
    <xf numFmtId="3" fontId="2" fillId="11" borderId="3" xfId="0" applyNumberFormat="1" applyFont="1" applyFill="1" applyBorder="1" applyAlignment="1">
      <alignment horizontal="center"/>
    </xf>
    <xf numFmtId="0" fontId="2" fillId="0" borderId="3" xfId="0"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3"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0" borderId="8" xfId="0" applyNumberFormat="1" applyFont="1" applyBorder="1"/>
    <xf numFmtId="2" fontId="2" fillId="7" borderId="7" xfId="0" applyNumberFormat="1" applyFont="1" applyFill="1" applyBorder="1"/>
    <xf numFmtId="165" fontId="23" fillId="7" borderId="4" xfId="0" applyNumberFormat="1" applyFont="1" applyFill="1" applyBorder="1" applyAlignment="1">
      <alignment horizontal="center"/>
    </xf>
    <xf numFmtId="165" fontId="23" fillId="7" borderId="44" xfId="0" applyNumberFormat="1" applyFont="1" applyFill="1" applyBorder="1" applyAlignment="1">
      <alignment horizontal="center"/>
    </xf>
    <xf numFmtId="165" fontId="23" fillId="7" borderId="2" xfId="0" applyNumberFormat="1" applyFont="1" applyFill="1" applyBorder="1" applyAlignment="1">
      <alignment horizontal="center"/>
    </xf>
    <xf numFmtId="2" fontId="2" fillId="7" borderId="6" xfId="0" applyNumberFormat="1" applyFont="1" applyFill="1" applyBorder="1"/>
    <xf numFmtId="2" fontId="2" fillId="7" borderId="8" xfId="0" applyNumberFormat="1" applyFont="1" applyFill="1" applyBorder="1"/>
    <xf numFmtId="0" fontId="2" fillId="0" borderId="1" xfId="0" applyFont="1" applyBorder="1" applyAlignment="1">
      <alignment horizontal="left" vertical="top" wrapText="1" indent="2"/>
    </xf>
    <xf numFmtId="0" fontId="2" fillId="7" borderId="3" xfId="0" applyFont="1" applyFill="1" applyBorder="1" applyAlignment="1">
      <alignment horizontal="center"/>
    </xf>
    <xf numFmtId="3" fontId="2" fillId="0" borderId="3" xfId="0" applyNumberFormat="1" applyFont="1" applyBorder="1" applyAlignment="1">
      <alignment horizontal="center"/>
    </xf>
    <xf numFmtId="0" fontId="2" fillId="7" borderId="0" xfId="0" applyFont="1" applyFill="1" applyAlignment="1">
      <alignment horizontal="center"/>
    </xf>
    <xf numFmtId="1" fontId="2" fillId="11" borderId="0" xfId="0" applyNumberFormat="1" applyFont="1" applyFill="1" applyAlignment="1">
      <alignment horizontal="center" wrapText="1"/>
    </xf>
    <xf numFmtId="3" fontId="2" fillId="11" borderId="7" xfId="0" applyNumberFormat="1" applyFont="1" applyFill="1" applyBorder="1" applyAlignment="1">
      <alignment horizontal="center" vertical="top" wrapText="1"/>
    </xf>
    <xf numFmtId="3" fontId="2" fillId="0" borderId="3" xfId="0" applyNumberFormat="1" applyFont="1" applyBorder="1" applyAlignment="1">
      <alignment horizontal="center" wrapText="1"/>
    </xf>
    <xf numFmtId="1" fontId="2" fillId="0" borderId="4" xfId="0" applyNumberFormat="1" applyFont="1" applyBorder="1" applyAlignment="1">
      <alignment horizontal="center"/>
    </xf>
    <xf numFmtId="1" fontId="2" fillId="0" borderId="44" xfId="0" applyNumberFormat="1" applyFont="1" applyBorder="1" applyAlignment="1">
      <alignment horizontal="center"/>
    </xf>
    <xf numFmtId="1" fontId="2" fillId="11" borderId="44" xfId="0" applyNumberFormat="1" applyFont="1" applyFill="1" applyBorder="1" applyAlignment="1">
      <alignment horizontal="center"/>
    </xf>
    <xf numFmtId="1" fontId="2" fillId="11" borderId="2" xfId="0" applyNumberFormat="1" applyFont="1" applyFill="1" applyBorder="1" applyAlignment="1">
      <alignment horizontal="center"/>
    </xf>
    <xf numFmtId="165" fontId="23" fillId="7" borderId="44" xfId="0" applyNumberFormat="1" applyFont="1" applyFill="1" applyBorder="1" applyAlignment="1">
      <alignment horizontal="center" wrapText="1"/>
    </xf>
    <xf numFmtId="165" fontId="23" fillId="0" borderId="0" xfId="0" applyNumberFormat="1" applyFont="1" applyAlignment="1">
      <alignment horizontal="center" wrapText="1"/>
    </xf>
    <xf numFmtId="165" fontId="2" fillId="0" borderId="0" xfId="0" applyNumberFormat="1" applyFont="1" applyAlignment="1">
      <alignment horizontal="center" wrapText="1"/>
    </xf>
    <xf numFmtId="165" fontId="2" fillId="11"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3" xfId="0" applyNumberFormat="1" applyFont="1" applyBorder="1" applyAlignment="1">
      <alignment horizontal="center" vertical="top" wrapText="1"/>
    </xf>
    <xf numFmtId="165" fontId="23" fillId="0" borderId="44" xfId="0" applyNumberFormat="1" applyFont="1" applyBorder="1" applyAlignment="1">
      <alignment horizontal="center" wrapText="1"/>
    </xf>
    <xf numFmtId="165" fontId="23" fillId="0" borderId="2"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4" xfId="0" applyFont="1" applyBorder="1" applyAlignment="1">
      <alignment horizontal="left"/>
    </xf>
    <xf numFmtId="165" fontId="23" fillId="0" borderId="44" xfId="0" applyNumberFormat="1" applyFont="1" applyBorder="1" applyAlignment="1">
      <alignment horizontal="center"/>
    </xf>
    <xf numFmtId="165" fontId="23" fillId="0" borderId="2"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4" xfId="0" applyFont="1" applyBorder="1" applyAlignment="1">
      <alignment horizontal="center" wrapText="1"/>
    </xf>
    <xf numFmtId="165" fontId="2" fillId="11" borderId="3" xfId="0" applyNumberFormat="1" applyFont="1" applyFill="1" applyBorder="1" applyAlignment="1">
      <alignment horizontal="center" wrapText="1"/>
    </xf>
    <xf numFmtId="1" fontId="2" fillId="11" borderId="3" xfId="0" applyNumberFormat="1" applyFont="1" applyFill="1" applyBorder="1" applyAlignment="1">
      <alignment horizontal="center" wrapText="1"/>
    </xf>
    <xf numFmtId="3" fontId="2" fillId="11"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165" fontId="2" fillId="15"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2" fillId="16" borderId="0" xfId="0" applyNumberFormat="1" applyFont="1" applyFill="1" applyAlignment="1">
      <alignment horizontal="center" wrapText="1"/>
    </xf>
    <xf numFmtId="165" fontId="2" fillId="16"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165" fontId="23" fillId="7" borderId="5" xfId="0" applyNumberFormat="1" applyFont="1" applyFill="1" applyBorder="1" applyAlignment="1">
      <alignment horizontal="center" wrapText="1"/>
    </xf>
    <xf numFmtId="165" fontId="23" fillId="7" borderId="2" xfId="0" applyNumberFormat="1" applyFont="1" applyFill="1" applyBorder="1" applyAlignment="1">
      <alignment horizontal="center" wrapText="1"/>
    </xf>
    <xf numFmtId="0" fontId="2" fillId="0" borderId="54" xfId="0" applyFont="1" applyBorder="1" applyAlignment="1">
      <alignment wrapText="1"/>
    </xf>
    <xf numFmtId="0" fontId="2" fillId="0" borderId="55" xfId="0" applyFont="1" applyBorder="1"/>
    <xf numFmtId="0" fontId="2" fillId="0" borderId="5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24"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5"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7" borderId="1" xfId="0" applyFont="1" applyFill="1" applyBorder="1" applyAlignment="1">
      <alignment horizontal="center"/>
    </xf>
    <xf numFmtId="165" fontId="2" fillId="7"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2"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6" borderId="3" xfId="0" applyNumberFormat="1" applyFont="1" applyFill="1" applyBorder="1" applyAlignment="1">
      <alignment horizontal="center" wrapText="1"/>
    </xf>
    <xf numFmtId="3" fontId="12" fillId="0" borderId="56" xfId="0" applyNumberFormat="1" applyFont="1" applyBorder="1" applyAlignment="1">
      <alignment horizontal="left" wrapText="1"/>
    </xf>
    <xf numFmtId="0" fontId="23" fillId="0" borderId="4" xfId="0"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0" fontId="2" fillId="3" borderId="5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6" borderId="7" xfId="0" applyNumberFormat="1" applyFont="1" applyFill="1" applyBorder="1" applyAlignment="1">
      <alignment horizontal="center" wrapText="1"/>
    </xf>
    <xf numFmtId="165" fontId="2" fillId="16" borderId="8" xfId="0" applyNumberFormat="1" applyFont="1" applyFill="1" applyBorder="1" applyAlignment="1">
      <alignment horizontal="center" wrapText="1"/>
    </xf>
    <xf numFmtId="0" fontId="2" fillId="7" borderId="13" xfId="0" applyFont="1" applyFill="1" applyBorder="1" applyAlignment="1">
      <alignment horizontal="center"/>
    </xf>
    <xf numFmtId="0" fontId="2" fillId="0" borderId="1" xfId="0" applyFont="1" applyBorder="1" applyAlignment="1">
      <alignment horizontal="left" wrapText="1" indent="2"/>
    </xf>
    <xf numFmtId="165" fontId="2" fillId="7" borderId="3" xfId="0" applyNumberFormat="1" applyFont="1" applyFill="1" applyBorder="1" applyAlignment="1">
      <alignment horizontal="center" wrapText="1"/>
    </xf>
    <xf numFmtId="3" fontId="2" fillId="7"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23" fillId="0" borderId="5" xfId="0" applyFont="1" applyBorder="1" applyAlignment="1">
      <alignment horizontal="center" wrapText="1"/>
    </xf>
    <xf numFmtId="168" fontId="2" fillId="7" borderId="0" xfId="0" applyNumberFormat="1" applyFont="1" applyFill="1" applyAlignment="1">
      <alignment horizontal="center" wrapText="1"/>
    </xf>
    <xf numFmtId="168" fontId="2" fillId="7"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54" xfId="0" applyFont="1" applyBorder="1" applyAlignment="1">
      <alignment horizontal="center" wrapText="1"/>
    </xf>
    <xf numFmtId="0" fontId="12" fillId="0" borderId="54" xfId="0" applyFont="1" applyBorder="1" applyAlignment="1">
      <alignment wrapText="1"/>
    </xf>
    <xf numFmtId="3" fontId="12" fillId="0" borderId="55"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2" fillId="0" borderId="8" xfId="0" applyFont="1" applyBorder="1"/>
    <xf numFmtId="0" fontId="2" fillId="11" borderId="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11" borderId="0" xfId="0" applyNumberFormat="1" applyFont="1" applyFill="1" applyAlignment="1">
      <alignment horizontal="center" vertical="center"/>
    </xf>
    <xf numFmtId="1" fontId="23" fillId="7" borderId="0" xfId="0" applyNumberFormat="1" applyFont="1" applyFill="1" applyAlignment="1">
      <alignment horizontal="center" vertical="center"/>
    </xf>
    <xf numFmtId="0" fontId="26" fillId="0" borderId="4" xfId="0" applyFont="1" applyBorder="1" applyAlignment="1">
      <alignment horizontal="center" vertical="center" wrapText="1"/>
    </xf>
    <xf numFmtId="0" fontId="2" fillId="0" borderId="44" xfId="0" applyFont="1" applyBorder="1" applyAlignment="1">
      <alignment horizontal="center" vertical="center"/>
    </xf>
    <xf numFmtId="3" fontId="2" fillId="0" borderId="44" xfId="0" applyNumberFormat="1" applyFont="1" applyBorder="1" applyAlignment="1">
      <alignment horizontal="center" vertical="center"/>
    </xf>
    <xf numFmtId="1" fontId="2" fillId="0" borderId="44" xfId="0" applyNumberFormat="1" applyFont="1" applyBorder="1" applyAlignment="1">
      <alignment horizontal="center" vertical="center"/>
    </xf>
    <xf numFmtId="1" fontId="2" fillId="7" borderId="44"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68" fontId="2" fillId="7" borderId="3" xfId="0" applyNumberFormat="1" applyFont="1" applyFill="1" applyBorder="1" applyAlignment="1">
      <alignment horizontal="center" vertical="center"/>
    </xf>
    <xf numFmtId="1" fontId="23" fillId="7" borderId="3"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2" fontId="2" fillId="11" borderId="0" xfId="0" applyNumberFormat="1" applyFont="1" applyFill="1" applyAlignment="1">
      <alignment horizontal="center"/>
    </xf>
    <xf numFmtId="165" fontId="2" fillId="0" borderId="44" xfId="0" applyNumberFormat="1" applyFont="1" applyBorder="1" applyAlignment="1">
      <alignment horizontal="center"/>
    </xf>
    <xf numFmtId="0" fontId="2" fillId="0" borderId="0" xfId="0" applyFont="1" applyAlignment="1">
      <alignment horizontal="left"/>
    </xf>
    <xf numFmtId="1" fontId="2" fillId="0" borderId="0" xfId="0" applyNumberFormat="1" applyFont="1"/>
    <xf numFmtId="1" fontId="2" fillId="7" borderId="0" xfId="0" applyNumberFormat="1" applyFont="1" applyFill="1"/>
    <xf numFmtId="1" fontId="2" fillId="7" borderId="3" xfId="0" applyNumberFormat="1" applyFont="1" applyFill="1" applyBorder="1"/>
    <xf numFmtId="1" fontId="2" fillId="7" borderId="1"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165" fontId="2" fillId="0" borderId="7" xfId="0" applyNumberFormat="1" applyFont="1" applyBorder="1" applyAlignment="1">
      <alignment horizontal="center"/>
    </xf>
    <xf numFmtId="165" fontId="2" fillId="7" borderId="44" xfId="0" applyNumberFormat="1" applyFont="1" applyFill="1" applyBorder="1" applyAlignment="1">
      <alignment horizontal="center"/>
    </xf>
    <xf numFmtId="3" fontId="23" fillId="7" borderId="1" xfId="0" applyNumberFormat="1" applyFont="1" applyFill="1" applyBorder="1" applyAlignment="1">
      <alignment horizontal="center"/>
    </xf>
    <xf numFmtId="165" fontId="2" fillId="7" borderId="2" xfId="0" applyNumberFormat="1" applyFont="1" applyFill="1" applyBorder="1" applyAlignment="1">
      <alignment horizontal="center"/>
    </xf>
    <xf numFmtId="3" fontId="2" fillId="11" borderId="44" xfId="0" applyNumberFormat="1" applyFont="1" applyFill="1" applyBorder="1" applyAlignment="1">
      <alignment horizontal="center"/>
    </xf>
    <xf numFmtId="165" fontId="2" fillId="7" borderId="4" xfId="0" applyNumberFormat="1" applyFont="1" applyFill="1" applyBorder="1" applyAlignment="1">
      <alignment horizontal="center"/>
    </xf>
    <xf numFmtId="0" fontId="26" fillId="0" borderId="1" xfId="0" applyFont="1" applyBorder="1" applyAlignment="1">
      <alignment horizontal="center" vertical="center" wrapText="1"/>
    </xf>
    <xf numFmtId="0" fontId="2" fillId="7" borderId="1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0" xfId="0" applyFont="1" applyFill="1" applyAlignment="1">
      <alignment horizontal="center" vertical="center"/>
    </xf>
    <xf numFmtId="0" fontId="2" fillId="11" borderId="3" xfId="0" applyFont="1" applyFill="1" applyBorder="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3" fontId="2" fillId="7" borderId="0" xfId="0" applyNumberFormat="1" applyFont="1" applyFill="1" applyAlignment="1">
      <alignment horizontal="center" vertical="center"/>
    </xf>
    <xf numFmtId="0" fontId="2" fillId="7" borderId="3" xfId="0" applyFont="1" applyFill="1" applyBorder="1" applyAlignment="1">
      <alignment horizontal="center" vertical="center"/>
    </xf>
    <xf numFmtId="0" fontId="2" fillId="7" borderId="13"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11"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3" fontId="2" fillId="0" borderId="44" xfId="0" applyNumberFormat="1" applyFont="1" applyBorder="1" applyAlignment="1">
      <alignment horizontal="center"/>
    </xf>
    <xf numFmtId="0" fontId="2" fillId="0" borderId="44" xfId="0" applyFont="1" applyBorder="1" applyAlignment="1">
      <alignment horizontal="left"/>
    </xf>
    <xf numFmtId="165" fontId="2" fillId="2" borderId="44" xfId="0" applyNumberFormat="1" applyFont="1" applyFill="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165" fontId="2" fillId="0" borderId="8" xfId="0" applyNumberFormat="1" applyFont="1" applyBorder="1" applyAlignment="1">
      <alignment horizontal="center"/>
    </xf>
    <xf numFmtId="165" fontId="2" fillId="7" borderId="1" xfId="0" applyNumberFormat="1" applyFont="1" applyFill="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17" fontId="12" fillId="3" borderId="5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2" fillId="0" borderId="1" xfId="0" applyFont="1" applyBorder="1" applyAlignment="1">
      <alignment horizontal="left"/>
    </xf>
    <xf numFmtId="3" fontId="2" fillId="0" borderId="7" xfId="0" applyNumberFormat="1" applyFont="1" applyBorder="1" applyAlignment="1">
      <alignment horizontal="center"/>
    </xf>
    <xf numFmtId="165" fontId="2" fillId="0" borderId="0" xfId="0" applyNumberFormat="1" applyFont="1"/>
    <xf numFmtId="165" fontId="2" fillId="7" borderId="5" xfId="0" applyNumberFormat="1" applyFont="1" applyFill="1" applyBorder="1" applyAlignment="1">
      <alignment horizontal="center"/>
    </xf>
    <xf numFmtId="3" fontId="2" fillId="7" borderId="6" xfId="0" applyNumberFormat="1" applyFont="1" applyFill="1" applyBorder="1" applyAlignment="1">
      <alignment horizontal="center"/>
    </xf>
    <xf numFmtId="0" fontId="12" fillId="3" borderId="4" xfId="0" applyFont="1" applyFill="1" applyBorder="1" applyAlignment="1">
      <alignment horizontal="left" wrapText="1"/>
    </xf>
    <xf numFmtId="0" fontId="2" fillId="0" borderId="4" xfId="0" applyFont="1" applyBorder="1" applyAlignment="1">
      <alignment wrapText="1"/>
    </xf>
    <xf numFmtId="0" fontId="2" fillId="0" borderId="6" xfId="0" applyFont="1" applyBorder="1" applyAlignment="1">
      <alignment vertical="top" wrapText="1"/>
    </xf>
    <xf numFmtId="17" fontId="12" fillId="3" borderId="54" xfId="0" applyNumberFormat="1" applyFont="1" applyFill="1" applyBorder="1" applyAlignment="1">
      <alignment horizontal="left" wrapText="1"/>
    </xf>
    <xf numFmtId="17" fontId="12" fillId="3" borderId="55"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28" fillId="0" borderId="1" xfId="0" applyFont="1" applyBorder="1" applyAlignment="1">
      <alignment horizontal="left" indent="2"/>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4"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2" fillId="0" borderId="44" xfId="0" applyNumberFormat="1" applyFont="1" applyBorder="1" applyAlignment="1">
      <alignment horizontal="center" wrapText="1"/>
    </xf>
    <xf numFmtId="1" fontId="2" fillId="11" borderId="44" xfId="0" applyNumberFormat="1" applyFont="1" applyFill="1" applyBorder="1" applyAlignment="1">
      <alignment horizontal="center" wrapText="1"/>
    </xf>
    <xf numFmtId="1" fontId="2" fillId="11"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0" fontId="1" fillId="7" borderId="2" xfId="0" applyFont="1" applyFill="1" applyBorder="1"/>
    <xf numFmtId="0" fontId="23" fillId="0" borderId="6" xfId="0" applyFont="1" applyBorder="1"/>
    <xf numFmtId="0" fontId="23"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3" fillId="0" borderId="0" xfId="0" applyNumberFormat="1" applyFont="1" applyAlignment="1">
      <alignment horizontal="center"/>
    </xf>
    <xf numFmtId="3" fontId="23" fillId="7" borderId="0" xfId="0" applyNumberFormat="1" applyFont="1" applyFill="1" applyAlignment="1">
      <alignment horizontal="center" wrapText="1"/>
    </xf>
    <xf numFmtId="1" fontId="23" fillId="7" borderId="7" xfId="0" applyNumberFormat="1" applyFont="1" applyFill="1" applyBorder="1" applyAlignment="1">
      <alignment horizontal="center"/>
    </xf>
    <xf numFmtId="1" fontId="23"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3" xfId="0" applyFont="1" applyFill="1" applyBorder="1"/>
    <xf numFmtId="0" fontId="28"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5" xfId="0" applyNumberFormat="1" applyFont="1" applyFill="1" applyBorder="1" applyAlignment="1">
      <alignment horizontal="center" wrapText="1"/>
    </xf>
    <xf numFmtId="0" fontId="1" fillId="7" borderId="5" xfId="0" applyFont="1" applyFill="1" applyBorder="1"/>
    <xf numFmtId="1" fontId="2" fillId="7" borderId="3" xfId="0" applyNumberFormat="1" applyFont="1" applyFill="1" applyBorder="1" applyAlignment="1">
      <alignment horizontal="center" wrapText="1"/>
    </xf>
    <xf numFmtId="3" fontId="23" fillId="7"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4" fontId="2" fillId="0" borderId="0" xfId="0" applyNumberFormat="1" applyFont="1" applyAlignment="1">
      <alignment horizontal="center"/>
    </xf>
    <xf numFmtId="169" fontId="2" fillId="0" borderId="0" xfId="0" applyNumberFormat="1" applyFont="1" applyAlignment="1">
      <alignment horizontal="center"/>
    </xf>
    <xf numFmtId="3" fontId="2" fillId="0" borderId="3" xfId="0" applyNumberFormat="1" applyFont="1" applyBorder="1" applyAlignment="1">
      <alignment horizontal="right"/>
    </xf>
    <xf numFmtId="0" fontId="2" fillId="0" borderId="7" xfId="0" applyFont="1" applyBorder="1" applyAlignment="1">
      <alignment horizontal="center"/>
    </xf>
    <xf numFmtId="168" fontId="2" fillId="0" borderId="7" xfId="0" applyNumberFormat="1" applyFont="1" applyBorder="1" applyAlignment="1">
      <alignment horizontal="center"/>
    </xf>
    <xf numFmtId="0" fontId="12" fillId="14" borderId="4" xfId="0" applyFont="1" applyFill="1" applyBorder="1"/>
    <xf numFmtId="0" fontId="2" fillId="14" borderId="44" xfId="0" applyFont="1" applyFill="1" applyBorder="1" applyAlignment="1">
      <alignment horizontal="center"/>
    </xf>
    <xf numFmtId="0" fontId="2" fillId="14" borderId="2" xfId="0" applyFont="1" applyFill="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1" xfId="0" applyFont="1" applyBorder="1"/>
    <xf numFmtId="168" fontId="2" fillId="0" borderId="0" xfId="0" applyNumberFormat="1" applyFont="1" applyAlignment="1">
      <alignment horizontal="center"/>
    </xf>
    <xf numFmtId="168" fontId="2" fillId="11" borderId="0" xfId="0" applyNumberFormat="1" applyFont="1" applyFill="1" applyAlignment="1">
      <alignment horizontal="center"/>
    </xf>
    <xf numFmtId="168" fontId="2" fillId="11" borderId="3" xfId="0" applyNumberFormat="1" applyFont="1" applyFill="1" applyBorder="1" applyAlignment="1">
      <alignment horizontal="center"/>
    </xf>
    <xf numFmtId="168" fontId="2" fillId="0" borderId="4" xfId="0" applyNumberFormat="1" applyFont="1" applyBorder="1" applyAlignment="1">
      <alignment horizontal="center"/>
    </xf>
    <xf numFmtId="168" fontId="2" fillId="0" borderId="44" xfId="0" applyNumberFormat="1" applyFont="1" applyBorder="1" applyAlignment="1">
      <alignment horizontal="center"/>
    </xf>
    <xf numFmtId="168" fontId="2" fillId="11" borderId="44" xfId="0" applyNumberFormat="1" applyFont="1" applyFill="1" applyBorder="1" applyAlignment="1">
      <alignment horizontal="center"/>
    </xf>
    <xf numFmtId="168" fontId="2" fillId="11" borderId="2" xfId="0" applyNumberFormat="1" applyFont="1" applyFill="1" applyBorder="1" applyAlignment="1">
      <alignment horizontal="center"/>
    </xf>
    <xf numFmtId="169" fontId="2" fillId="11" borderId="7" xfId="0" applyNumberFormat="1" applyFont="1" applyFill="1" applyBorder="1" applyAlignment="1">
      <alignment horizontal="center"/>
    </xf>
    <xf numFmtId="168" fontId="23" fillId="0" borderId="0" xfId="0" applyNumberFormat="1" applyFont="1" applyAlignment="1">
      <alignment horizontal="center"/>
    </xf>
    <xf numFmtId="168" fontId="23" fillId="11"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4" xfId="0" applyNumberFormat="1" applyFont="1" applyBorder="1" applyAlignment="1">
      <alignment horizontal="center"/>
    </xf>
    <xf numFmtId="168" fontId="23" fillId="11" borderId="44" xfId="0" applyNumberFormat="1" applyFont="1" applyFill="1" applyBorder="1" applyAlignment="1">
      <alignment horizontal="center"/>
    </xf>
    <xf numFmtId="168" fontId="23" fillId="11" borderId="2" xfId="0" applyNumberFormat="1" applyFont="1" applyFill="1" applyBorder="1" applyAlignment="1">
      <alignment horizontal="center"/>
    </xf>
    <xf numFmtId="168" fontId="23" fillId="0" borderId="3" xfId="0" applyNumberFormat="1" applyFont="1" applyBorder="1" applyAlignment="1">
      <alignment horizontal="center"/>
    </xf>
    <xf numFmtId="168" fontId="2" fillId="0" borderId="8" xfId="0" applyNumberFormat="1" applyFont="1" applyBorder="1" applyAlignment="1">
      <alignment horizontal="center"/>
    </xf>
    <xf numFmtId="168" fontId="23" fillId="7" borderId="0" xfId="0" applyNumberFormat="1" applyFont="1" applyFill="1" applyAlignment="1">
      <alignment horizontal="center"/>
    </xf>
    <xf numFmtId="169" fontId="2" fillId="11" borderId="8" xfId="0" applyNumberFormat="1" applyFont="1" applyFill="1" applyBorder="1" applyAlignment="1">
      <alignment horizontal="center"/>
    </xf>
    <xf numFmtId="169" fontId="2" fillId="0" borderId="3"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 fillId="0" borderId="4" xfId="0" applyFont="1" applyBorder="1"/>
    <xf numFmtId="0" fontId="23" fillId="0" borderId="1" xfId="0" applyFont="1" applyBorder="1"/>
    <xf numFmtId="168" fontId="23" fillId="7" borderId="2" xfId="0" applyNumberFormat="1" applyFont="1" applyFill="1" applyBorder="1" applyAlignment="1">
      <alignment horizontal="center"/>
    </xf>
    <xf numFmtId="172" fontId="2" fillId="0" borderId="0" xfId="0" applyNumberFormat="1" applyFont="1"/>
    <xf numFmtId="169" fontId="2" fillId="0" borderId="0" xfId="0" applyNumberFormat="1" applyFont="1"/>
    <xf numFmtId="0" fontId="12" fillId="3" borderId="54" xfId="0" applyFont="1" applyFill="1" applyBorder="1"/>
    <xf numFmtId="0" fontId="12" fillId="3" borderId="55" xfId="0" applyFont="1" applyFill="1" applyBorder="1"/>
    <xf numFmtId="0" fontId="12" fillId="3" borderId="56" xfId="0" applyFont="1" applyFill="1" applyBorder="1"/>
    <xf numFmtId="0" fontId="12" fillId="3" borderId="55" xfId="0" applyFont="1" applyFill="1" applyBorder="1" applyAlignment="1">
      <alignment horizontal="center"/>
    </xf>
    <xf numFmtId="0" fontId="12" fillId="3" borderId="56"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3" fillId="7"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1"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3" fillId="11" borderId="3"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44" xfId="0" applyNumberFormat="1" applyFont="1" applyBorder="1"/>
    <xf numFmtId="2" fontId="2" fillId="0" borderId="44" xfId="0" applyNumberFormat="1" applyFont="1" applyBorder="1" applyAlignment="1">
      <alignment horizontal="right"/>
    </xf>
    <xf numFmtId="3" fontId="2" fillId="0" borderId="44" xfId="0" applyNumberFormat="1" applyFont="1" applyBorder="1" applyAlignment="1">
      <alignment horizontal="right"/>
    </xf>
    <xf numFmtId="3" fontId="2" fillId="0" borderId="2" xfId="0" applyNumberFormat="1" applyFont="1" applyBorder="1" applyAlignment="1">
      <alignment horizontal="right"/>
    </xf>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8" fontId="2" fillId="11" borderId="0" xfId="0" applyNumberFormat="1" applyFont="1" applyFill="1" applyAlignment="1">
      <alignment horizontal="center" wrapText="1"/>
    </xf>
    <xf numFmtId="169" fontId="2" fillId="18" borderId="8" xfId="0" applyNumberFormat="1" applyFont="1" applyFill="1" applyBorder="1" applyAlignment="1">
      <alignment horizontal="center"/>
    </xf>
    <xf numFmtId="169" fontId="2" fillId="18" borderId="7" xfId="0" applyNumberFormat="1" applyFont="1" applyFill="1" applyBorder="1" applyAlignment="1">
      <alignment horizontal="center"/>
    </xf>
    <xf numFmtId="168" fontId="2" fillId="11" borderId="3" xfId="0" applyNumberFormat="1" applyFont="1" applyFill="1" applyBorder="1" applyAlignment="1">
      <alignment horizontal="center" wrapText="1"/>
    </xf>
    <xf numFmtId="168" fontId="2" fillId="12" borderId="0" xfId="0" applyNumberFormat="1" applyFont="1" applyFill="1" applyAlignment="1">
      <alignment horizontal="center" wrapText="1"/>
    </xf>
    <xf numFmtId="0" fontId="1" fillId="17" borderId="0" xfId="0" applyFont="1" applyFill="1"/>
    <xf numFmtId="0" fontId="2" fillId="0" borderId="0" xfId="0" applyFont="1" applyAlignment="1">
      <alignment horizontal="left" indent="4"/>
    </xf>
    <xf numFmtId="0" fontId="12" fillId="0" borderId="1" xfId="0" applyFont="1" applyBorder="1"/>
    <xf numFmtId="169" fontId="2" fillId="0" borderId="7" xfId="0" applyNumberFormat="1" applyFont="1" applyBorder="1"/>
    <xf numFmtId="0" fontId="2" fillId="0" borderId="6" xfId="0" applyFont="1" applyBorder="1" applyAlignment="1">
      <alignment horizontal="left" indent="4"/>
    </xf>
    <xf numFmtId="3" fontId="33" fillId="0" borderId="0" xfId="0" applyNumberFormat="1" applyFont="1"/>
    <xf numFmtId="0" fontId="2" fillId="0" borderId="3" xfId="0" applyFont="1" applyBorder="1"/>
    <xf numFmtId="173" fontId="2" fillId="0" borderId="0" xfId="0" applyNumberFormat="1" applyFont="1"/>
    <xf numFmtId="0" fontId="2" fillId="19" borderId="4" xfId="0" applyFont="1" applyFill="1" applyBorder="1"/>
    <xf numFmtId="0" fontId="2" fillId="19" borderId="5" xfId="0" applyFont="1" applyFill="1" applyBorder="1"/>
    <xf numFmtId="0" fontId="2" fillId="19" borderId="2" xfId="0" applyFont="1" applyFill="1" applyBorder="1"/>
    <xf numFmtId="0" fontId="2" fillId="0" borderId="6" xfId="0" applyFont="1" applyBorder="1" applyAlignment="1">
      <alignment horizontal="right"/>
    </xf>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168" fontId="2" fillId="12" borderId="3" xfId="0" applyNumberFormat="1" applyFont="1" applyFill="1" applyBorder="1" applyAlignment="1">
      <alignment horizontal="center" wrapText="1"/>
    </xf>
    <xf numFmtId="0" fontId="12" fillId="0" borderId="4" xfId="0" applyFont="1" applyBorder="1"/>
    <xf numFmtId="0" fontId="2" fillId="7" borderId="2" xfId="0" applyFont="1" applyFill="1" applyBorder="1"/>
    <xf numFmtId="0" fontId="2" fillId="11" borderId="8" xfId="0" applyFont="1" applyFill="1" applyBorder="1" applyAlignment="1">
      <alignment horizontal="center"/>
    </xf>
    <xf numFmtId="0" fontId="2" fillId="11" borderId="6" xfId="0" applyFont="1" applyFill="1" applyBorder="1" applyAlignment="1">
      <alignment horizontal="center"/>
    </xf>
    <xf numFmtId="0" fontId="2" fillId="11" borderId="7" xfId="0" applyFont="1" applyFill="1" applyBorder="1" applyAlignment="1">
      <alignment horizontal="center"/>
    </xf>
    <xf numFmtId="0" fontId="1" fillId="0" borderId="7" xfId="0" applyFont="1" applyBorder="1" applyAlignment="1">
      <alignment horizontal="center"/>
    </xf>
    <xf numFmtId="0" fontId="23" fillId="0" borderId="0" xfId="0" applyFont="1" applyAlignment="1">
      <alignment horizontal="center"/>
    </xf>
    <xf numFmtId="0" fontId="23"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8" fontId="2" fillId="11" borderId="8" xfId="0" applyNumberFormat="1" applyFont="1" applyFill="1" applyBorder="1"/>
    <xf numFmtId="0" fontId="2" fillId="0" borderId="6" xfId="0" applyFont="1" applyBorder="1" applyAlignment="1">
      <alignment horizontal="center"/>
    </xf>
    <xf numFmtId="168" fontId="2" fillId="0" borderId="1" xfId="0" applyNumberFormat="1" applyFont="1" applyBorder="1"/>
    <xf numFmtId="168" fontId="12" fillId="0" borderId="0" xfId="0" applyNumberFormat="1" applyFont="1" applyAlignment="1">
      <alignment horizontal="center"/>
    </xf>
    <xf numFmtId="168" fontId="12" fillId="0" borderId="3" xfId="0" applyNumberFormat="1" applyFont="1" applyBorder="1" applyAlignment="1">
      <alignment horizontal="center"/>
    </xf>
    <xf numFmtId="168" fontId="12" fillId="7" borderId="0" xfId="0" applyNumberFormat="1" applyFont="1" applyFill="1" applyAlignment="1">
      <alignment horizontal="center"/>
    </xf>
    <xf numFmtId="168" fontId="12" fillId="7" borderId="3" xfId="0" applyNumberFormat="1" applyFont="1" applyFill="1" applyBorder="1" applyAlignment="1">
      <alignment horizontal="center"/>
    </xf>
    <xf numFmtId="3" fontId="2" fillId="0" borderId="0" xfId="0" applyNumberFormat="1" applyFont="1"/>
    <xf numFmtId="168" fontId="2" fillId="7" borderId="0" xfId="0" applyNumberFormat="1" applyFont="1" applyFill="1" applyAlignment="1">
      <alignment horizontal="center"/>
    </xf>
    <xf numFmtId="168" fontId="2" fillId="7" borderId="3" xfId="0" applyNumberFormat="1" applyFont="1" applyFill="1" applyBorder="1" applyAlignment="1">
      <alignment horizontal="center"/>
    </xf>
    <xf numFmtId="0" fontId="23" fillId="7" borderId="0" xfId="0" applyFont="1" applyFill="1" applyAlignment="1">
      <alignment horizontal="center"/>
    </xf>
    <xf numFmtId="0" fontId="23" fillId="7" borderId="3" xfId="0" applyFont="1" applyFill="1" applyBorder="1" applyAlignment="1">
      <alignment horizontal="center"/>
    </xf>
    <xf numFmtId="0" fontId="2" fillId="11" borderId="0" xfId="0" applyFont="1" applyFill="1"/>
    <xf numFmtId="165" fontId="2" fillId="11" borderId="0" xfId="0" applyNumberFormat="1" applyFont="1" applyFill="1" applyAlignment="1">
      <alignment horizontal="center"/>
    </xf>
    <xf numFmtId="0" fontId="12" fillId="0" borderId="44" xfId="0" applyFont="1" applyBorder="1" applyAlignment="1">
      <alignment horizontal="center"/>
    </xf>
    <xf numFmtId="0" fontId="2" fillId="0" borderId="2" xfId="0" applyFont="1" applyBorder="1" applyAlignment="1">
      <alignment horizontal="center"/>
    </xf>
    <xf numFmtId="168" fontId="2" fillId="0" borderId="3" xfId="0" applyNumberFormat="1" applyFont="1" applyBorder="1" applyAlignment="1">
      <alignment horizontal="center"/>
    </xf>
    <xf numFmtId="165" fontId="2" fillId="11" borderId="3" xfId="0" applyNumberFormat="1" applyFont="1" applyFill="1" applyBorder="1" applyAlignment="1">
      <alignment horizontal="center"/>
    </xf>
    <xf numFmtId="0" fontId="23" fillId="0" borderId="3" xfId="0" applyFont="1" applyBorder="1" applyAlignment="1">
      <alignment horizontal="center"/>
    </xf>
    <xf numFmtId="168" fontId="23" fillId="0" borderId="2" xfId="0" applyNumberFormat="1" applyFont="1" applyBorder="1" applyAlignment="1">
      <alignment horizontal="center"/>
    </xf>
    <xf numFmtId="168" fontId="2" fillId="11" borderId="0" xfId="0" applyNumberFormat="1" applyFont="1" applyFill="1"/>
    <xf numFmtId="168" fontId="2" fillId="3" borderId="0" xfId="0" applyNumberFormat="1" applyFont="1" applyFill="1"/>
    <xf numFmtId="168" fontId="2" fillId="20" borderId="0" xfId="0" applyNumberFormat="1" applyFont="1" applyFill="1"/>
    <xf numFmtId="168" fontId="2" fillId="11" borderId="7" xfId="0" applyNumberFormat="1" applyFont="1" applyFill="1" applyBorder="1"/>
    <xf numFmtId="168" fontId="2" fillId="11" borderId="3" xfId="0" applyNumberFormat="1" applyFont="1" applyFill="1" applyBorder="1"/>
    <xf numFmtId="0" fontId="2" fillId="11" borderId="3" xfId="0" applyFont="1" applyFill="1" applyBorder="1"/>
    <xf numFmtId="0" fontId="23"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0" fontId="2" fillId="7" borderId="5" xfId="0" applyFont="1" applyFill="1" applyBorder="1"/>
    <xf numFmtId="168" fontId="2" fillId="7" borderId="5" xfId="0" applyNumberFormat="1" applyFont="1" applyFill="1" applyBorder="1" applyAlignment="1">
      <alignment horizontal="center"/>
    </xf>
    <xf numFmtId="168" fontId="23" fillId="7"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54"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7" borderId="3" xfId="0" applyFont="1" applyFill="1" applyBorder="1" applyAlignment="1">
      <alignment horizontal="center" wrapText="1"/>
    </xf>
    <xf numFmtId="168" fontId="2" fillId="7" borderId="0" xfId="0" applyNumberFormat="1" applyFont="1" applyFill="1"/>
    <xf numFmtId="168" fontId="2" fillId="0" borderId="7" xfId="0" applyNumberFormat="1" applyFont="1" applyBorder="1"/>
    <xf numFmtId="168" fontId="2" fillId="7" borderId="7" xfId="0" applyNumberFormat="1" applyFont="1" applyFill="1" applyBorder="1"/>
    <xf numFmtId="168" fontId="2" fillId="0" borderId="6" xfId="0" applyNumberFormat="1" applyFont="1" applyBorder="1"/>
    <xf numFmtId="0" fontId="2" fillId="0" borderId="13" xfId="0" applyFont="1" applyBorder="1"/>
    <xf numFmtId="0" fontId="12" fillId="0" borderId="55" xfId="0" applyFont="1" applyBorder="1"/>
    <xf numFmtId="0" fontId="12" fillId="0" borderId="56" xfId="0" applyFont="1" applyBorder="1"/>
    <xf numFmtId="169" fontId="2" fillId="10" borderId="7" xfId="0" applyNumberFormat="1" applyFont="1" applyFill="1" applyBorder="1"/>
    <xf numFmtId="4" fontId="2" fillId="0" borderId="0" xfId="0" applyNumberFormat="1" applyFont="1"/>
    <xf numFmtId="0" fontId="2" fillId="7" borderId="3" xfId="0" applyFont="1" applyFill="1" applyBorder="1"/>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1" fontId="2" fillId="0" borderId="7" xfId="0" applyNumberFormat="1" applyFont="1" applyBorder="1"/>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35" fillId="0" borderId="4" xfId="0" applyFont="1" applyBorder="1" applyAlignment="1">
      <alignment wrapText="1"/>
    </xf>
    <xf numFmtId="174" fontId="35" fillId="0" borderId="44" xfId="0" applyNumberFormat="1" applyFont="1" applyBorder="1" applyAlignment="1">
      <alignment horizontal="center"/>
    </xf>
    <xf numFmtId="174" fontId="35" fillId="0" borderId="2" xfId="0" applyNumberFormat="1" applyFont="1" applyBorder="1" applyAlignment="1">
      <alignment horizontal="center"/>
    </xf>
    <xf numFmtId="174" fontId="35" fillId="7" borderId="44" xfId="0" applyNumberFormat="1" applyFont="1" applyFill="1" applyBorder="1" applyAlignment="1">
      <alignment horizontal="center"/>
    </xf>
    <xf numFmtId="174" fontId="35" fillId="7" borderId="2" xfId="0" applyNumberFormat="1" applyFont="1" applyFill="1" applyBorder="1" applyAlignment="1">
      <alignment horizontal="center"/>
    </xf>
    <xf numFmtId="1" fontId="28" fillId="0" borderId="0" xfId="0" applyNumberFormat="1" applyFont="1" applyAlignment="1">
      <alignment horizontal="center"/>
    </xf>
    <xf numFmtId="1" fontId="2" fillId="0" borderId="0" xfId="0" applyNumberFormat="1" applyFont="1" applyAlignment="1">
      <alignment horizontal="center"/>
    </xf>
    <xf numFmtId="0" fontId="28" fillId="0" borderId="4" xfId="0" applyFont="1" applyBorder="1" applyAlignment="1">
      <alignment wrapText="1"/>
    </xf>
    <xf numFmtId="1" fontId="28" fillId="0" borderId="44" xfId="0" applyNumberFormat="1" applyFont="1" applyBorder="1" applyAlignment="1">
      <alignment horizontal="center"/>
    </xf>
    <xf numFmtId="0" fontId="28" fillId="0" borderId="6" xfId="0" applyFont="1" applyBorder="1"/>
    <xf numFmtId="1" fontId="28"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3" xfId="0" applyNumberFormat="1" applyFont="1" applyBorder="1" applyAlignment="1">
      <alignment horizontal="center" wrapText="1"/>
    </xf>
    <xf numFmtId="3" fontId="2" fillId="0" borderId="6" xfId="0" applyNumberFormat="1" applyFont="1" applyBorder="1" applyAlignment="1">
      <alignment horizontal="center"/>
    </xf>
    <xf numFmtId="0" fontId="12" fillId="0" borderId="14" xfId="0" applyFont="1" applyBorder="1"/>
    <xf numFmtId="174" fontId="35" fillId="16" borderId="44"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44" xfId="0" applyNumberFormat="1" applyFont="1" applyFill="1" applyBorder="1"/>
    <xf numFmtId="1" fontId="2" fillId="7" borderId="2" xfId="0" applyNumberFormat="1" applyFont="1" applyFill="1" applyBorder="1"/>
    <xf numFmtId="1" fontId="2" fillId="0" borderId="3" xfId="0" applyNumberFormat="1" applyFont="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44" xfId="0" applyNumberFormat="1" applyFont="1" applyBorder="1"/>
    <xf numFmtId="1" fontId="2" fillId="7" borderId="7" xfId="0" applyNumberFormat="1" applyFont="1" applyFill="1" applyBorder="1"/>
    <xf numFmtId="1" fontId="2" fillId="7" borderId="8" xfId="0" applyNumberFormat="1" applyFont="1" applyFill="1" applyBorder="1"/>
    <xf numFmtId="1" fontId="2" fillId="7" borderId="6" xfId="0" applyNumberFormat="1" applyFont="1" applyFill="1" applyBorder="1"/>
    <xf numFmtId="169" fontId="2" fillId="0" borderId="1" xfId="0" applyNumberFormat="1" applyFont="1" applyBorder="1" applyAlignment="1">
      <alignment horizontal="center"/>
    </xf>
    <xf numFmtId="168" fontId="23" fillId="0" borderId="0" xfId="0" applyNumberFormat="1" applyFont="1"/>
    <xf numFmtId="1" fontId="2" fillId="0" borderId="0" xfId="0" applyNumberFormat="1" applyFont="1" applyAlignment="1">
      <alignment horizontal="center" vertical="top" wrapText="1"/>
    </xf>
    <xf numFmtId="1" fontId="2" fillId="7" borderId="0" xfId="0" applyNumberFormat="1" applyFont="1" applyFill="1" applyAlignment="1">
      <alignment horizontal="center"/>
    </xf>
    <xf numFmtId="167" fontId="2" fillId="0" borderId="0" xfId="0" applyNumberFormat="1" applyFont="1" applyAlignment="1">
      <alignment horizontal="center"/>
    </xf>
    <xf numFmtId="167" fontId="2" fillId="7" borderId="0" xfId="0" applyNumberFormat="1" applyFont="1" applyFill="1" applyAlignment="1">
      <alignment horizontal="center"/>
    </xf>
    <xf numFmtId="1" fontId="2" fillId="7" borderId="4" xfId="0" applyNumberFormat="1" applyFont="1" applyFill="1" applyBorder="1" applyAlignment="1">
      <alignment horizontal="center"/>
    </xf>
    <xf numFmtId="1" fontId="2" fillId="7" borderId="2" xfId="0" applyNumberFormat="1" applyFont="1" applyFill="1" applyBorder="1" applyAlignment="1">
      <alignment horizontal="center"/>
    </xf>
    <xf numFmtId="1" fontId="2" fillId="7" borderId="44" xfId="0" applyNumberFormat="1" applyFont="1" applyFill="1" applyBorder="1" applyAlignment="1">
      <alignment horizontal="center"/>
    </xf>
    <xf numFmtId="174" fontId="35" fillId="0" borderId="55" xfId="0" applyNumberFormat="1" applyFont="1" applyBorder="1" applyAlignment="1">
      <alignment horizontal="center"/>
    </xf>
    <xf numFmtId="168" fontId="2" fillId="0" borderId="1" xfId="0" applyNumberFormat="1" applyFont="1" applyBorder="1" applyAlignment="1">
      <alignment horizontal="center" vertical="top" wrapText="1"/>
    </xf>
    <xf numFmtId="168" fontId="2" fillId="0" borderId="0" xfId="0" applyNumberFormat="1" applyFont="1" applyAlignment="1">
      <alignment horizontal="center" vertical="top" wrapText="1"/>
    </xf>
    <xf numFmtId="168" fontId="2" fillId="0" borderId="3" xfId="0" applyNumberFormat="1" applyFont="1" applyBorder="1" applyAlignment="1">
      <alignment horizontal="center" vertical="top" wrapText="1"/>
    </xf>
    <xf numFmtId="167" fontId="2" fillId="0" borderId="0" xfId="0" applyNumberFormat="1" applyFont="1"/>
    <xf numFmtId="1" fontId="23" fillId="7" borderId="3" xfId="0" applyNumberFormat="1" applyFont="1" applyFill="1" applyBorder="1" applyAlignment="1">
      <alignment horizontal="center" vertical="top" wrapText="1"/>
    </xf>
    <xf numFmtId="174" fontId="35" fillId="0" borderId="54" xfId="0" applyNumberFormat="1" applyFont="1" applyBorder="1" applyAlignment="1">
      <alignment horizontal="center"/>
    </xf>
    <xf numFmtId="174" fontId="35" fillId="0" borderId="4" xfId="0" applyNumberFormat="1" applyFont="1" applyBorder="1" applyAlignment="1">
      <alignment horizontal="center"/>
    </xf>
    <xf numFmtId="174" fontId="35" fillId="0" borderId="5" xfId="0" applyNumberFormat="1" applyFont="1" applyBorder="1" applyAlignment="1">
      <alignment horizontal="center"/>
    </xf>
    <xf numFmtId="168" fontId="2" fillId="0" borderId="44" xfId="0" applyNumberFormat="1" applyFont="1" applyBorder="1" applyAlignment="1">
      <alignment horizontal="right" vertical="top" wrapText="1"/>
    </xf>
    <xf numFmtId="1" fontId="23" fillId="0" borderId="0" xfId="0" applyNumberFormat="1" applyFont="1" applyAlignment="1">
      <alignment horizontal="center" vertical="top" wrapText="1"/>
    </xf>
    <xf numFmtId="168" fontId="2" fillId="11"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3" fillId="0" borderId="0" xfId="0" applyNumberFormat="1" applyFont="1" applyAlignment="1">
      <alignment horizontal="center" vertical="top" wrapText="1"/>
    </xf>
    <xf numFmtId="1" fontId="23" fillId="7" borderId="0" xfId="0" applyNumberFormat="1" applyFont="1" applyFill="1" applyAlignment="1">
      <alignment horizontal="center" vertical="top" wrapText="1"/>
    </xf>
    <xf numFmtId="168" fontId="23" fillId="16"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6" borderId="0" xfId="0" applyNumberFormat="1" applyFont="1" applyFill="1" applyAlignment="1">
      <alignment horizontal="center" vertical="top" wrapText="1"/>
    </xf>
    <xf numFmtId="168" fontId="2" fillId="7" borderId="4" xfId="0" applyNumberFormat="1" applyFont="1" applyFill="1" applyBorder="1" applyAlignment="1">
      <alignment horizontal="right" vertical="top" wrapText="1"/>
    </xf>
    <xf numFmtId="168" fontId="2" fillId="7" borderId="44"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3"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3" xfId="0" applyNumberFormat="1" applyFont="1" applyFill="1" applyBorder="1" applyAlignment="1">
      <alignment horizontal="center" vertical="top" wrapText="1"/>
    </xf>
    <xf numFmtId="168" fontId="2" fillId="21" borderId="1" xfId="0" applyNumberFormat="1" applyFont="1" applyFill="1" applyBorder="1" applyAlignment="1">
      <alignment horizontal="center" vertical="top" wrapText="1"/>
    </xf>
    <xf numFmtId="168" fontId="2" fillId="16" borderId="3" xfId="0" applyNumberFormat="1" applyFont="1" applyFill="1" applyBorder="1" applyAlignment="1">
      <alignment horizontal="center" vertical="top" wrapText="1"/>
    </xf>
    <xf numFmtId="168" fontId="36" fillId="7" borderId="6" xfId="0" applyNumberFormat="1" applyFont="1" applyFill="1" applyBorder="1" applyAlignment="1">
      <alignment horizontal="center"/>
    </xf>
    <xf numFmtId="168" fontId="2" fillId="0" borderId="4"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68" fontId="2" fillId="16" borderId="4" xfId="0" applyNumberFormat="1" applyFont="1" applyFill="1" applyBorder="1" applyAlignment="1">
      <alignment horizontal="right" vertical="top" wrapText="1"/>
    </xf>
    <xf numFmtId="168" fontId="2" fillId="16" borderId="44" xfId="0" applyNumberFormat="1" applyFont="1" applyFill="1" applyBorder="1" applyAlignment="1">
      <alignment horizontal="right" vertical="top" wrapText="1"/>
    </xf>
    <xf numFmtId="168" fontId="2" fillId="16" borderId="2" xfId="0" applyNumberFormat="1" applyFont="1" applyFill="1" applyBorder="1" applyAlignment="1">
      <alignment horizontal="right" vertical="top" wrapText="1"/>
    </xf>
    <xf numFmtId="0" fontId="2" fillId="0" borderId="1" xfId="0" applyFont="1" applyBorder="1" applyAlignment="1">
      <alignment horizontal="left" indent="1"/>
    </xf>
    <xf numFmtId="9" fontId="2" fillId="0" borderId="0" xfId="0" applyNumberFormat="1" applyFont="1"/>
    <xf numFmtId="9" fontId="2" fillId="0" borderId="3"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3" xfId="0" applyNumberFormat="1" applyFont="1" applyFill="1" applyBorder="1" applyAlignment="1">
      <alignment horizontal="center"/>
    </xf>
    <xf numFmtId="1" fontId="2" fillId="0" borderId="1" xfId="0" applyNumberFormat="1" applyFont="1" applyBorder="1" applyAlignment="1">
      <alignment horizontal="center"/>
    </xf>
    <xf numFmtId="0" fontId="1" fillId="0" borderId="4" xfId="0" applyFont="1" applyBorder="1"/>
    <xf numFmtId="1" fontId="2" fillId="11" borderId="0" xfId="0" applyNumberFormat="1" applyFont="1" applyFill="1" applyAlignment="1">
      <alignment horizontal="center"/>
    </xf>
    <xf numFmtId="168" fontId="2" fillId="0" borderId="0" xfId="0" applyNumberFormat="1" applyFont="1" applyAlignment="1">
      <alignment horizontal="right" vertical="top" wrapText="1"/>
    </xf>
    <xf numFmtId="168" fontId="23" fillId="11" borderId="0" xfId="0" applyNumberFormat="1" applyFont="1" applyFill="1" applyAlignment="1">
      <alignment horizontal="center" vertical="top" wrapText="1"/>
    </xf>
    <xf numFmtId="9" fontId="2" fillId="0" borderId="0" xfId="0" applyNumberFormat="1" applyFont="1" applyAlignment="1">
      <alignment horizontal="right" vertical="top" wrapText="1"/>
    </xf>
    <xf numFmtId="168" fontId="36" fillId="7" borderId="8" xfId="0" applyNumberFormat="1" applyFont="1" applyFill="1" applyBorder="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 fontId="2" fillId="0" borderId="8" xfId="0" applyNumberFormat="1" applyFont="1" applyBorder="1" applyAlignment="1">
      <alignment horizontal="center"/>
    </xf>
    <xf numFmtId="167" fontId="2" fillId="11" borderId="0" xfId="0" applyNumberFormat="1" applyFont="1" applyFill="1" applyAlignment="1">
      <alignment horizontal="center"/>
    </xf>
    <xf numFmtId="167" fontId="2" fillId="0" borderId="44" xfId="0" applyNumberFormat="1" applyFont="1" applyBorder="1" applyAlignment="1">
      <alignment horizontal="center"/>
    </xf>
    <xf numFmtId="0" fontId="2" fillId="0" borderId="5" xfId="0"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7" borderId="5"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3"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9" fontId="2" fillId="7" borderId="0" xfId="0" applyNumberFormat="1" applyFont="1" applyFill="1" applyAlignment="1">
      <alignment horizontal="center"/>
    </xf>
    <xf numFmtId="168" fontId="23" fillId="11" borderId="7" xfId="0" applyNumberFormat="1" applyFont="1" applyFill="1" applyBorder="1" applyAlignment="1">
      <alignment horizontal="center" vertical="top" wrapText="1"/>
    </xf>
    <xf numFmtId="168" fontId="2" fillId="11" borderId="3" xfId="0" applyNumberFormat="1" applyFont="1" applyFill="1" applyBorder="1" applyAlignment="1">
      <alignment horizontal="center" vertical="top" wrapText="1"/>
    </xf>
    <xf numFmtId="167" fontId="2" fillId="11" borderId="3" xfId="0" applyNumberFormat="1" applyFont="1" applyFill="1" applyBorder="1" applyAlignment="1">
      <alignment horizontal="center"/>
    </xf>
    <xf numFmtId="1" fontId="2" fillId="11" borderId="3" xfId="0" applyNumberFormat="1" applyFont="1" applyFill="1" applyBorder="1" applyAlignment="1">
      <alignment horizontal="center"/>
    </xf>
    <xf numFmtId="167" fontId="2" fillId="11"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0" fontId="26" fillId="0" borderId="0" xfId="0" applyFont="1" applyAlignment="1">
      <alignment horizontal="center" vertical="top" wrapText="1"/>
    </xf>
    <xf numFmtId="1" fontId="2" fillId="7" borderId="3" xfId="0" applyNumberFormat="1" applyFont="1" applyFill="1" applyBorder="1" applyAlignment="1">
      <alignment horizontal="center" vertical="top" wrapText="1"/>
    </xf>
    <xf numFmtId="0" fontId="28" fillId="0" borderId="62"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7"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23" fillId="0" borderId="0" xfId="0" applyFont="1" applyAlignment="1">
      <alignment horizontal="left" vertical="top" wrapText="1"/>
    </xf>
    <xf numFmtId="0" fontId="35"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28" fillId="0" borderId="63" xfId="0" applyFont="1" applyBorder="1" applyAlignment="1">
      <alignment horizontal="left" indent="2"/>
    </xf>
    <xf numFmtId="165" fontId="2" fillId="0" borderId="64" xfId="0" applyNumberFormat="1" applyFont="1" applyBorder="1" applyAlignment="1">
      <alignment horizontal="center" vertical="top" wrapText="1"/>
    </xf>
    <xf numFmtId="1" fontId="2" fillId="7" borderId="64" xfId="0" applyNumberFormat="1" applyFont="1" applyFill="1" applyBorder="1" applyAlignment="1">
      <alignment horizontal="center" vertical="top" wrapText="1"/>
    </xf>
    <xf numFmtId="3" fontId="2" fillId="0" borderId="59" xfId="0" applyNumberFormat="1" applyFont="1" applyBorder="1" applyAlignment="1">
      <alignment horizontal="center" vertical="top" wrapText="1"/>
    </xf>
    <xf numFmtId="174" fontId="28" fillId="0" borderId="0" xfId="0" applyNumberFormat="1" applyFont="1" applyAlignment="1">
      <alignment horizontal="center"/>
    </xf>
    <xf numFmtId="0" fontId="2" fillId="0" borderId="4" xfId="0" applyFont="1" applyBorder="1" applyAlignment="1">
      <alignment horizontal="left" indent="1"/>
    </xf>
    <xf numFmtId="0" fontId="35" fillId="0" borderId="1" xfId="0" applyFont="1" applyBorder="1" applyAlignment="1">
      <alignment horizontal="left" wrapText="1"/>
    </xf>
    <xf numFmtId="43" fontId="28" fillId="0" borderId="0" xfId="0" applyNumberFormat="1" applyFont="1"/>
    <xf numFmtId="0" fontId="2" fillId="0" borderId="1" xfId="0" applyFont="1" applyBorder="1" applyAlignment="1">
      <alignment horizontal="left" indent="2"/>
    </xf>
    <xf numFmtId="0" fontId="37" fillId="0" borderId="0" xfId="0" applyFont="1"/>
    <xf numFmtId="0" fontId="28" fillId="0" borderId="0" xfId="0" applyFont="1"/>
    <xf numFmtId="0" fontId="35" fillId="0" borderId="0" xfId="0" applyFont="1"/>
    <xf numFmtId="0" fontId="38" fillId="0" borderId="1" xfId="0" applyFont="1" applyBorder="1" applyAlignment="1">
      <alignment horizontal="left"/>
    </xf>
    <xf numFmtId="174" fontId="28"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57"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2" fillId="0" borderId="45" xfId="0" applyFont="1" applyBorder="1"/>
    <xf numFmtId="168" fontId="23" fillId="0" borderId="0" xfId="0" applyNumberFormat="1" applyFont="1" applyAlignment="1">
      <alignment horizontal="right" vertical="top" wrapText="1"/>
    </xf>
    <xf numFmtId="174" fontId="35" fillId="0" borderId="0" xfId="0" applyNumberFormat="1" applyFont="1" applyAlignment="1">
      <alignment horizontal="center"/>
    </xf>
    <xf numFmtId="43" fontId="2" fillId="0" borderId="0" xfId="0" applyNumberFormat="1" applyFont="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6"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5" fontId="28" fillId="0" borderId="0" xfId="0" applyNumberFormat="1" applyFont="1" applyAlignment="1">
      <alignment horizontal="center"/>
    </xf>
    <xf numFmtId="0" fontId="12" fillId="16" borderId="55" xfId="0" applyFont="1" applyFill="1" applyBorder="1" applyAlignment="1">
      <alignment horizontal="center"/>
    </xf>
    <xf numFmtId="0" fontId="12" fillId="16" borderId="56" xfId="0" applyFont="1" applyFill="1" applyBorder="1" applyAlignment="1">
      <alignment horizontal="center"/>
    </xf>
    <xf numFmtId="0" fontId="12" fillId="16" borderId="5" xfId="0" applyFont="1" applyFill="1" applyBorder="1" applyAlignment="1">
      <alignment horizontal="center"/>
    </xf>
    <xf numFmtId="0" fontId="12" fillId="16" borderId="2" xfId="0" applyFont="1" applyFill="1" applyBorder="1" applyAlignment="1">
      <alignment horizontal="center"/>
    </xf>
    <xf numFmtId="0" fontId="28" fillId="0" borderId="1" xfId="0" applyFont="1" applyBorder="1"/>
    <xf numFmtId="174" fontId="35" fillId="16" borderId="2" xfId="0" applyNumberFormat="1" applyFont="1" applyFill="1" applyBorder="1" applyAlignment="1">
      <alignment horizontal="center"/>
    </xf>
    <xf numFmtId="174" fontId="35" fillId="16" borderId="55" xfId="0" applyNumberFormat="1" applyFont="1" applyFill="1" applyBorder="1" applyAlignment="1">
      <alignment horizontal="center"/>
    </xf>
    <xf numFmtId="174" fontId="35" fillId="16" borderId="56"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57"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65" xfId="0" applyNumberFormat="1" applyFont="1" applyBorder="1" applyAlignment="1">
      <alignment horizontal="right"/>
    </xf>
    <xf numFmtId="168" fontId="1" fillId="0" borderId="66" xfId="0" applyNumberFormat="1" applyFont="1" applyBorder="1" applyAlignment="1">
      <alignment horizontal="center"/>
    </xf>
    <xf numFmtId="174" fontId="28" fillId="0" borderId="8" xfId="0" applyNumberFormat="1" applyFont="1" applyBorder="1" applyAlignment="1">
      <alignment horizontal="center"/>
    </xf>
    <xf numFmtId="168" fontId="1" fillId="0" borderId="67" xfId="0" applyNumberFormat="1" applyFont="1" applyBorder="1" applyAlignment="1">
      <alignment horizontal="center"/>
    </xf>
    <xf numFmtId="10" fontId="23"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1" borderId="13" xfId="0" applyNumberFormat="1" applyFont="1" applyFill="1" applyBorder="1" applyAlignment="1">
      <alignment horizontal="right"/>
    </xf>
    <xf numFmtId="14" fontId="2" fillId="11" borderId="12" xfId="0" applyNumberFormat="1" applyFont="1" applyFill="1" applyBorder="1" applyAlignment="1">
      <alignment horizontal="right"/>
    </xf>
    <xf numFmtId="2" fontId="2" fillId="0" borderId="3" xfId="0" applyNumberFormat="1" applyFont="1" applyBorder="1" applyAlignment="1">
      <alignment horizontal="center"/>
    </xf>
    <xf numFmtId="2" fontId="2" fillId="0" borderId="8" xfId="0" applyNumberFormat="1" applyFont="1" applyBorder="1" applyAlignment="1">
      <alignment horizontal="center"/>
    </xf>
    <xf numFmtId="0" fontId="2" fillId="11" borderId="6" xfId="0" applyFont="1" applyFill="1" applyBorder="1" applyAlignment="1">
      <alignment horizontal="center" wrapText="1"/>
    </xf>
    <xf numFmtId="0" fontId="2" fillId="11" borderId="7" xfId="0" applyFont="1" applyFill="1" applyBorder="1" applyAlignment="1">
      <alignment horizontal="center" wrapText="1"/>
    </xf>
    <xf numFmtId="0" fontId="2" fillId="7" borderId="14" xfId="0" applyFont="1" applyFill="1" applyBorder="1"/>
    <xf numFmtId="0" fontId="2" fillId="11" borderId="5" xfId="0" applyFont="1" applyFill="1" applyBorder="1"/>
    <xf numFmtId="0" fontId="2" fillId="7" borderId="12" xfId="0" applyFont="1" applyFill="1" applyBorder="1" applyAlignment="1">
      <alignment horizontal="center" wrapText="1"/>
    </xf>
    <xf numFmtId="3" fontId="2" fillId="0" borderId="5" xfId="0" applyNumberFormat="1" applyFont="1" applyBorder="1" applyAlignment="1">
      <alignment horizontal="center"/>
    </xf>
    <xf numFmtId="0" fontId="2" fillId="11" borderId="57" xfId="0" applyFont="1" applyFill="1" applyBorder="1" applyAlignment="1">
      <alignment horizontal="center" wrapText="1"/>
    </xf>
    <xf numFmtId="0" fontId="2" fillId="11" borderId="56" xfId="0" applyFont="1" applyFill="1" applyBorder="1" applyAlignment="1">
      <alignment horizontal="center" wrapText="1"/>
    </xf>
    <xf numFmtId="14" fontId="2" fillId="11" borderId="14" xfId="0" applyNumberFormat="1" applyFont="1" applyFill="1" applyBorder="1" applyAlignment="1">
      <alignment horizontal="right"/>
    </xf>
    <xf numFmtId="165" fontId="1" fillId="0" borderId="44" xfId="0" applyNumberFormat="1" applyFont="1" applyBorder="1" applyAlignment="1">
      <alignment horizontal="center"/>
    </xf>
    <xf numFmtId="165" fontId="1" fillId="11"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1" borderId="0" xfId="0" applyNumberFormat="1" applyFont="1" applyFill="1" applyAlignment="1">
      <alignment horizontal="center"/>
    </xf>
    <xf numFmtId="165" fontId="1" fillId="11" borderId="44"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4" xfId="0" applyFont="1" applyBorder="1" applyAlignment="1">
      <alignment horizontal="left" wrapText="1" indent="2"/>
    </xf>
    <xf numFmtId="165" fontId="1" fillId="11" borderId="3" xfId="0" applyNumberFormat="1" applyFont="1" applyFill="1" applyBorder="1" applyAlignment="1">
      <alignment horizontal="center"/>
    </xf>
    <xf numFmtId="0" fontId="1" fillId="11"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1" borderId="14" xfId="0" applyFont="1" applyFill="1" applyBorder="1" applyAlignment="1">
      <alignment horizontal="center" wrapText="1"/>
    </xf>
    <xf numFmtId="0" fontId="1" fillId="3" borderId="5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165" fontId="1" fillId="10" borderId="8" xfId="0" applyNumberFormat="1" applyFont="1" applyFill="1" applyBorder="1" applyAlignment="1">
      <alignment horizontal="center"/>
    </xf>
    <xf numFmtId="0" fontId="4" fillId="0" borderId="4" xfId="0" applyFont="1" applyBorder="1" applyAlignment="1">
      <alignment horizontal="left" wrapText="1" indent="2"/>
    </xf>
    <xf numFmtId="0" fontId="1" fillId="11" borderId="7" xfId="0" applyFont="1" applyFill="1" applyBorder="1" applyAlignment="1">
      <alignment horizontal="center"/>
    </xf>
    <xf numFmtId="0" fontId="23" fillId="11" borderId="0" xfId="0" applyFont="1" applyFill="1" applyAlignment="1">
      <alignment horizontal="center"/>
    </xf>
    <xf numFmtId="0" fontId="2" fillId="0" borderId="44" xfId="0" applyFont="1" applyBorder="1"/>
    <xf numFmtId="0" fontId="23" fillId="11"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 fillId="0" borderId="12" xfId="0" applyFont="1" applyBorder="1" applyAlignment="1">
      <alignment horizontal="left"/>
    </xf>
    <xf numFmtId="0" fontId="1" fillId="11"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2" fillId="0" borderId="44" xfId="0" applyFont="1" applyBorder="1" applyAlignment="1">
      <alignment vertical="center" wrapText="1"/>
    </xf>
    <xf numFmtId="0" fontId="1" fillId="6" borderId="0" xfId="0" applyFont="1" applyFill="1"/>
    <xf numFmtId="0" fontId="1" fillId="0" borderId="5" xfId="0" applyFont="1" applyBorder="1"/>
    <xf numFmtId="10" fontId="40" fillId="11" borderId="7" xfId="0" applyNumberFormat="1" applyFont="1" applyFill="1" applyBorder="1" applyAlignment="1">
      <alignment horizontal="center"/>
    </xf>
    <xf numFmtId="10" fontId="40" fillId="11" borderId="0" xfId="0" applyNumberFormat="1" applyFont="1" applyFill="1" applyAlignment="1">
      <alignment horizontal="center"/>
    </xf>
    <xf numFmtId="10" fontId="40" fillId="0" borderId="4" xfId="0" applyNumberFormat="1" applyFont="1" applyBorder="1" applyAlignment="1">
      <alignment horizontal="center"/>
    </xf>
    <xf numFmtId="10" fontId="40" fillId="11" borderId="44" xfId="0" applyNumberFormat="1" applyFont="1" applyFill="1" applyBorder="1" applyAlignment="1">
      <alignment horizontal="center"/>
    </xf>
    <xf numFmtId="10" fontId="40" fillId="11" borderId="2" xfId="0" applyNumberFormat="1" applyFont="1" applyFill="1" applyBorder="1" applyAlignment="1">
      <alignment horizontal="center"/>
    </xf>
    <xf numFmtId="10" fontId="40" fillId="11" borderId="3" xfId="0" applyNumberFormat="1" applyFont="1" applyFill="1" applyBorder="1" applyAlignment="1">
      <alignment horizontal="center"/>
    </xf>
    <xf numFmtId="10" fontId="40" fillId="11" borderId="8"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0" fontId="1" fillId="0" borderId="44" xfId="0" applyFont="1" applyBorder="1"/>
    <xf numFmtId="1" fontId="1" fillId="0" borderId="44" xfId="0" applyNumberFormat="1" applyFont="1" applyBorder="1"/>
    <xf numFmtId="2" fontId="40" fillId="0" borderId="2" xfId="0" applyNumberFormat="1" applyFont="1" applyBorder="1" applyAlignment="1">
      <alignment horizontal="center"/>
    </xf>
    <xf numFmtId="0" fontId="40" fillId="0" borderId="3" xfId="0" applyFont="1" applyBorder="1" applyAlignment="1">
      <alignment horizontal="center"/>
    </xf>
    <xf numFmtId="0" fontId="40" fillId="0" borderId="8" xfId="0" applyFont="1" applyBorder="1" applyAlignment="1">
      <alignment horizontal="center"/>
    </xf>
    <xf numFmtId="167" fontId="3" fillId="0" borderId="0" xfId="0" applyNumberFormat="1" applyFont="1" applyAlignment="1">
      <alignment wrapText="1"/>
    </xf>
    <xf numFmtId="0" fontId="4" fillId="0" borderId="5"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3" xfId="0" applyNumberFormat="1" applyFont="1" applyBorder="1" applyAlignment="1">
      <alignment horizontal="center"/>
    </xf>
    <xf numFmtId="10" fontId="40" fillId="0" borderId="6"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6"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2" fontId="42" fillId="0" borderId="3" xfId="0" applyNumberFormat="1" applyFont="1" applyBorder="1" applyAlignment="1">
      <alignment horizontal="center"/>
    </xf>
    <xf numFmtId="0" fontId="40" fillId="0" borderId="0" xfId="0" applyFont="1" applyAlignment="1">
      <alignment horizontal="center"/>
    </xf>
    <xf numFmtId="0" fontId="42" fillId="0" borderId="0" xfId="0" applyFont="1" applyAlignment="1">
      <alignment horizontal="center"/>
    </xf>
    <xf numFmtId="0" fontId="42" fillId="0" borderId="3" xfId="0" applyFont="1" applyBorder="1" applyAlignment="1">
      <alignment horizontal="center"/>
    </xf>
    <xf numFmtId="2" fontId="40" fillId="0" borderId="7" xfId="0" applyNumberFormat="1" applyFont="1" applyBorder="1" applyAlignment="1">
      <alignment horizontal="center"/>
    </xf>
    <xf numFmtId="0" fontId="40" fillId="0" borderId="7"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2" fontId="40" fillId="0" borderId="5" xfId="0" applyNumberFormat="1" applyFont="1" applyBorder="1" applyAlignment="1">
      <alignment horizontal="center"/>
    </xf>
    <xf numFmtId="2" fontId="40" fillId="0" borderId="3" xfId="0" applyNumberFormat="1" applyFont="1" applyBorder="1" applyAlignment="1">
      <alignment horizontal="center"/>
    </xf>
    <xf numFmtId="2" fontId="40" fillId="0" borderId="8" xfId="0" applyNumberFormat="1" applyFont="1" applyBorder="1" applyAlignment="1">
      <alignment horizontal="center"/>
    </xf>
    <xf numFmtId="0" fontId="12" fillId="0" borderId="4"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55" xfId="0" applyFont="1" applyBorder="1" applyAlignment="1">
      <alignment wrapText="1"/>
    </xf>
    <xf numFmtId="0" fontId="41" fillId="0" borderId="56" xfId="0" applyFont="1" applyBorder="1" applyAlignment="1">
      <alignment wrapText="1"/>
    </xf>
    <xf numFmtId="1" fontId="1" fillId="0" borderId="7" xfId="0" applyNumberFormat="1" applyFont="1" applyBorder="1"/>
    <xf numFmtId="10" fontId="40" fillId="17" borderId="0" xfId="0" applyNumberFormat="1" applyFont="1" applyFill="1" applyAlignment="1">
      <alignment horizontal="center"/>
    </xf>
    <xf numFmtId="10" fontId="40" fillId="17" borderId="3" xfId="0" applyNumberFormat="1" applyFont="1" applyFill="1" applyBorder="1" applyAlignment="1">
      <alignment horizontal="center"/>
    </xf>
    <xf numFmtId="10" fontId="1" fillId="17" borderId="1" xfId="0" applyNumberFormat="1" applyFont="1" applyFill="1" applyBorder="1"/>
    <xf numFmtId="0" fontId="4" fillId="17" borderId="3" xfId="0" applyFont="1" applyFill="1" applyBorder="1" applyAlignment="1">
      <alignment horizontal="left"/>
    </xf>
    <xf numFmtId="0" fontId="1" fillId="17" borderId="1" xfId="0" applyFont="1" applyFill="1" applyBorder="1"/>
    <xf numFmtId="0" fontId="1" fillId="17" borderId="6" xfId="0" applyFont="1" applyFill="1" applyBorder="1"/>
    <xf numFmtId="0" fontId="4" fillId="17" borderId="8" xfId="0" applyFont="1" applyFill="1" applyBorder="1" applyAlignment="1">
      <alignment horizontal="left"/>
    </xf>
    <xf numFmtId="10" fontId="40" fillId="17" borderId="7" xfId="0" applyNumberFormat="1" applyFont="1" applyFill="1" applyBorder="1" applyAlignment="1">
      <alignment horizontal="center"/>
    </xf>
    <xf numFmtId="10" fontId="40" fillId="17" borderId="8" xfId="0" applyNumberFormat="1" applyFont="1" applyFill="1" applyBorder="1" applyAlignment="1">
      <alignment horizontal="center"/>
    </xf>
    <xf numFmtId="10" fontId="40" fillId="0" borderId="0" xfId="0" applyNumberFormat="1" applyFont="1" applyAlignment="1">
      <alignment horizontal="center"/>
    </xf>
    <xf numFmtId="10" fontId="40" fillId="0" borderId="44" xfId="0" applyNumberFormat="1" applyFont="1" applyBorder="1" applyAlignment="1">
      <alignment horizontal="center"/>
    </xf>
    <xf numFmtId="10" fontId="40" fillId="0" borderId="2" xfId="0" applyNumberFormat="1" applyFont="1" applyBorder="1" applyAlignment="1">
      <alignment horizontal="center"/>
    </xf>
    <xf numFmtId="10" fontId="1" fillId="0" borderId="4"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0" fillId="0" borderId="68" xfId="0" applyNumberFormat="1" applyFont="1" applyBorder="1" applyAlignment="1">
      <alignment horizontal="center"/>
    </xf>
    <xf numFmtId="10" fontId="40" fillId="0" borderId="69" xfId="0" applyNumberFormat="1" applyFont="1" applyBorder="1" applyAlignment="1">
      <alignment horizontal="center"/>
    </xf>
    <xf numFmtId="10" fontId="40" fillId="0" borderId="70" xfId="0" applyNumberFormat="1" applyFont="1" applyBorder="1" applyAlignment="1">
      <alignment horizontal="center"/>
    </xf>
    <xf numFmtId="0" fontId="1" fillId="0" borderId="69" xfId="0" applyFont="1" applyBorder="1"/>
    <xf numFmtId="10" fontId="1" fillId="0" borderId="6" xfId="0" applyNumberFormat="1" applyFont="1" applyBorder="1"/>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3" fontId="2" fillId="0" borderId="7" xfId="0" applyNumberFormat="1" applyFont="1" applyBorder="1"/>
    <xf numFmtId="3" fontId="2" fillId="0" borderId="7" xfId="0" applyNumberFormat="1" applyFont="1" applyBorder="1" applyAlignment="1">
      <alignment horizontal="right"/>
    </xf>
    <xf numFmtId="0" fontId="2" fillId="0" borderId="0" xfId="0" applyFont="1" applyAlignment="1">
      <alignment vertical="center"/>
    </xf>
    <xf numFmtId="1" fontId="2" fillId="0" borderId="0" xfId="0" applyNumberFormat="1" applyFont="1" applyAlignment="1">
      <alignment horizontal="right"/>
    </xf>
    <xf numFmtId="0" fontId="2" fillId="0" borderId="7" xfId="0" applyFont="1" applyBorder="1" applyAlignment="1">
      <alignment horizontal="right"/>
    </xf>
    <xf numFmtId="3" fontId="44" fillId="22" borderId="0" xfId="0" applyNumberFormat="1" applyFont="1" applyFill="1" applyAlignment="1">
      <alignment horizontal="center" vertical="top"/>
    </xf>
    <xf numFmtId="0" fontId="44" fillId="0" borderId="0" xfId="0" applyFont="1" applyAlignment="1">
      <alignment horizontal="center" vertical="top"/>
    </xf>
    <xf numFmtId="0" fontId="45" fillId="22" borderId="0" xfId="0" applyFont="1" applyFill="1" applyAlignment="1">
      <alignment horizontal="left" vertical="top" wrapText="1"/>
    </xf>
    <xf numFmtId="0" fontId="45" fillId="22" borderId="0" xfId="0" applyFont="1" applyFill="1" applyAlignment="1">
      <alignment horizontal="center" vertical="top"/>
    </xf>
    <xf numFmtId="0" fontId="44" fillId="22" borderId="0" xfId="0" applyFont="1" applyFill="1" applyAlignment="1">
      <alignment horizontal="center" vertical="top"/>
    </xf>
    <xf numFmtId="0" fontId="46" fillId="22" borderId="0" xfId="0" applyFont="1" applyFill="1" applyAlignment="1">
      <alignment horizontal="left" vertical="top" wrapText="1"/>
    </xf>
    <xf numFmtId="1" fontId="47" fillId="0" borderId="71" xfId="0" applyNumberFormat="1" applyFont="1" applyBorder="1" applyAlignment="1">
      <alignment vertical="top"/>
    </xf>
    <xf numFmtId="1" fontId="47" fillId="0" borderId="71" xfId="0" applyNumberFormat="1" applyFont="1" applyBorder="1" applyAlignment="1">
      <alignment horizontal="right" vertical="top"/>
    </xf>
    <xf numFmtId="0" fontId="48" fillId="23" borderId="71" xfId="0" applyFont="1" applyFill="1" applyBorder="1" applyAlignment="1">
      <alignment vertical="top"/>
    </xf>
    <xf numFmtId="0" fontId="1" fillId="0" borderId="54" xfId="0" applyFont="1" applyBorder="1"/>
    <xf numFmtId="0" fontId="1" fillId="0" borderId="55" xfId="0" applyFont="1" applyBorder="1"/>
    <xf numFmtId="3" fontId="1" fillId="0" borderId="55" xfId="0" applyNumberFormat="1" applyFont="1" applyBorder="1"/>
    <xf numFmtId="3" fontId="1" fillId="0" borderId="56"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3" borderId="0" xfId="0" applyFont="1" applyFill="1" applyAlignment="1">
      <alignment vertical="top"/>
    </xf>
    <xf numFmtId="0" fontId="48" fillId="23" borderId="7" xfId="0" applyFont="1" applyFill="1" applyBorder="1" applyAlignment="1">
      <alignment vertical="top"/>
    </xf>
    <xf numFmtId="1" fontId="49" fillId="0" borderId="0" xfId="0" applyNumberFormat="1" applyFont="1"/>
    <xf numFmtId="1" fontId="45" fillId="22" borderId="0" xfId="0" applyNumberFormat="1" applyFont="1" applyFill="1" applyAlignment="1">
      <alignment horizontal="center"/>
    </xf>
    <xf numFmtId="0" fontId="44" fillId="23" borderId="0" xfId="0" applyFont="1" applyFill="1" applyAlignment="1">
      <alignment horizontal="center" vertical="center"/>
    </xf>
    <xf numFmtId="0" fontId="45" fillId="23" borderId="0" xfId="0" applyFont="1" applyFill="1" applyAlignment="1">
      <alignment horizontal="left" vertical="center" wrapText="1"/>
    </xf>
    <xf numFmtId="1" fontId="44" fillId="6" borderId="0" xfId="0" applyNumberFormat="1" applyFont="1" applyFill="1" applyAlignment="1">
      <alignment horizontal="center" vertical="top"/>
    </xf>
    <xf numFmtId="0" fontId="45" fillId="6" borderId="0" xfId="0" applyFont="1" applyFill="1" applyAlignment="1">
      <alignment horizontal="center" vertical="top"/>
    </xf>
    <xf numFmtId="0" fontId="49" fillId="0" borderId="0" xfId="0" applyFont="1"/>
    <xf numFmtId="0" fontId="3" fillId="24"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5" borderId="0" xfId="0" applyFont="1" applyFill="1" applyAlignment="1">
      <alignment horizontal="left"/>
    </xf>
    <xf numFmtId="0" fontId="3" fillId="26" borderId="0" xfId="0" applyFont="1" applyFill="1" applyAlignment="1">
      <alignment horizontal="left"/>
    </xf>
    <xf numFmtId="0" fontId="3"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5" fillId="0" borderId="0" xfId="0" applyFont="1" applyAlignment="1">
      <alignment horizontal="left"/>
    </xf>
    <xf numFmtId="0" fontId="45" fillId="0" borderId="0" xfId="0" applyFont="1" applyAlignment="1">
      <alignment horizontal="center" wrapText="1"/>
    </xf>
    <xf numFmtId="1" fontId="44" fillId="0" borderId="71" xfId="0" applyNumberFormat="1" applyFont="1" applyBorder="1" applyAlignment="1">
      <alignment horizontal="center" vertical="top"/>
    </xf>
    <xf numFmtId="0" fontId="45" fillId="23" borderId="7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4" borderId="0" xfId="0" applyNumberFormat="1" applyFont="1" applyFill="1" applyAlignment="1">
      <alignment horizontal="center" vertical="top"/>
    </xf>
    <xf numFmtId="0" fontId="45" fillId="24" borderId="0" xfId="0" applyFont="1" applyFill="1" applyAlignment="1">
      <alignment horizontal="center" vertical="top"/>
    </xf>
    <xf numFmtId="0" fontId="45" fillId="24" borderId="0" xfId="0" applyFont="1" applyFill="1" applyAlignment="1">
      <alignment horizontal="left" vertical="top" wrapText="1"/>
    </xf>
    <xf numFmtId="0" fontId="45" fillId="0" borderId="0" xfId="0" applyFont="1" applyAlignment="1">
      <alignment horizontal="left" vertical="top" wrapText="1"/>
    </xf>
    <xf numFmtId="0" fontId="44" fillId="0" borderId="55" xfId="0" applyFont="1" applyBorder="1" applyAlignment="1">
      <alignment horizontal="left" vertical="top"/>
    </xf>
    <xf numFmtId="0" fontId="44" fillId="0" borderId="55" xfId="0" applyFont="1" applyBorder="1" applyAlignment="1">
      <alignment horizontal="center" vertical="top" wrapText="1"/>
    </xf>
    <xf numFmtId="1" fontId="44" fillId="3" borderId="55" xfId="0" applyNumberFormat="1" applyFont="1" applyFill="1" applyBorder="1" applyAlignment="1">
      <alignment horizontal="center" vertical="top"/>
    </xf>
    <xf numFmtId="3" fontId="44" fillId="3" borderId="55" xfId="0" applyNumberFormat="1" applyFont="1" applyFill="1" applyBorder="1" applyAlignment="1">
      <alignment horizontal="center" vertical="top"/>
    </xf>
    <xf numFmtId="0" fontId="45" fillId="3" borderId="55" xfId="0" applyFont="1" applyFill="1" applyBorder="1" applyAlignment="1">
      <alignment horizontal="center" vertical="top"/>
    </xf>
    <xf numFmtId="0" fontId="45" fillId="0" borderId="55"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7" fillId="0" borderId="0" xfId="0" applyNumberFormat="1" applyFont="1" applyAlignment="1">
      <alignment vertical="top"/>
    </xf>
    <xf numFmtId="0" fontId="44" fillId="24"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4" fillId="24" borderId="0" xfId="0" applyNumberFormat="1" applyFont="1" applyFill="1" applyAlignment="1">
      <alignment horizontal="center" vertical="top"/>
    </xf>
    <xf numFmtId="0" fontId="44" fillId="24" borderId="0" xfId="0" applyFont="1" applyFill="1" applyAlignment="1">
      <alignment horizontal="center" vertical="top"/>
    </xf>
    <xf numFmtId="1" fontId="45" fillId="24" borderId="0" xfId="0" applyNumberFormat="1" applyFont="1" applyFill="1" applyAlignment="1">
      <alignment horizontal="center" vertical="top"/>
    </xf>
    <xf numFmtId="0" fontId="45" fillId="0" borderId="0" xfId="0" applyFont="1" applyAlignment="1">
      <alignment horizontal="center" vertical="top"/>
    </xf>
    <xf numFmtId="1" fontId="45" fillId="24" borderId="0" xfId="0" applyNumberFormat="1" applyFont="1" applyFill="1" applyAlignment="1">
      <alignment horizontal="center"/>
    </xf>
    <xf numFmtId="1" fontId="45" fillId="24" borderId="0" xfId="0" applyNumberFormat="1" applyFont="1" applyFill="1" applyAlignment="1">
      <alignment horizontal="center" vertical="center"/>
    </xf>
    <xf numFmtId="1" fontId="44" fillId="2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4" fillId="0" borderId="0" xfId="0" applyFont="1" applyAlignment="1">
      <alignment horizontal="left" vertical="top" wrapText="1"/>
    </xf>
    <xf numFmtId="1" fontId="44" fillId="24" borderId="5" xfId="0" applyNumberFormat="1" applyFont="1" applyFill="1" applyBorder="1" applyAlignment="1">
      <alignment horizontal="center" vertical="top"/>
    </xf>
    <xf numFmtId="3" fontId="44" fillId="24" borderId="5" xfId="0" applyNumberFormat="1" applyFont="1" applyFill="1" applyBorder="1" applyAlignment="1">
      <alignment horizontal="center" vertical="top"/>
    </xf>
    <xf numFmtId="0" fontId="45" fillId="24" borderId="5" xfId="0" applyFont="1" applyFill="1" applyBorder="1" applyAlignment="1">
      <alignment horizontal="center" vertical="top"/>
    </xf>
    <xf numFmtId="0" fontId="13" fillId="24" borderId="5" xfId="0" applyFont="1" applyFill="1" applyBorder="1" applyAlignment="1">
      <alignment horizontal="left" vertical="top" wrapText="1"/>
    </xf>
    <xf numFmtId="0" fontId="44" fillId="23" borderId="0" xfId="0" applyFont="1" applyFill="1" applyAlignment="1">
      <alignment horizontal="center"/>
    </xf>
    <xf numFmtId="0" fontId="45" fillId="23"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5" fillId="27" borderId="0" xfId="0" applyFont="1" applyFill="1" applyAlignment="1">
      <alignment horizontal="center" vertical="top"/>
    </xf>
    <xf numFmtId="0" fontId="45" fillId="27" borderId="0" xfId="0" applyFont="1" applyFill="1" applyAlignment="1">
      <alignment horizontal="left" vertical="top" wrapText="1"/>
    </xf>
    <xf numFmtId="1" fontId="45"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6" borderId="0" xfId="0" applyNumberFormat="1" applyFont="1" applyFill="1" applyAlignment="1">
      <alignment horizontal="center" vertical="top"/>
    </xf>
    <xf numFmtId="0" fontId="45" fillId="26" borderId="0" xfId="0" applyFont="1" applyFill="1" applyAlignment="1">
      <alignment horizontal="center" vertical="top"/>
    </xf>
    <xf numFmtId="3" fontId="44" fillId="26" borderId="0" xfId="0" applyNumberFormat="1" applyFont="1" applyFill="1" applyAlignment="1">
      <alignment horizontal="center" vertical="top"/>
    </xf>
    <xf numFmtId="0" fontId="44" fillId="26"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5" fillId="9" borderId="0" xfId="0" applyFont="1" applyFill="1" applyAlignment="1">
      <alignment horizontal="left" vertical="top" wrapText="1"/>
    </xf>
    <xf numFmtId="1" fontId="44" fillId="26" borderId="54" xfId="0" applyNumberFormat="1" applyFont="1" applyFill="1" applyBorder="1" applyAlignment="1">
      <alignment horizontal="center" vertical="top"/>
    </xf>
    <xf numFmtId="1" fontId="44" fillId="26" borderId="55" xfId="0" applyNumberFormat="1" applyFont="1" applyFill="1" applyBorder="1" applyAlignment="1">
      <alignment horizontal="center" vertical="top"/>
    </xf>
    <xf numFmtId="3" fontId="44" fillId="26" borderId="55" xfId="0" applyNumberFormat="1" applyFont="1" applyFill="1" applyBorder="1" applyAlignment="1">
      <alignment horizontal="center" vertical="top"/>
    </xf>
    <xf numFmtId="0" fontId="45" fillId="26" borderId="56" xfId="0" applyFont="1" applyFill="1" applyBorder="1" applyAlignment="1">
      <alignment horizontal="center" vertical="top" wrapText="1"/>
    </xf>
    <xf numFmtId="1" fontId="44" fillId="11" borderId="0" xfId="0" applyNumberFormat="1" applyFont="1" applyFill="1" applyAlignment="1">
      <alignment horizontal="center" vertical="top"/>
    </xf>
    <xf numFmtId="1" fontId="45" fillId="11" borderId="0" xfId="0" applyNumberFormat="1" applyFont="1" applyFill="1" applyAlignment="1">
      <alignment horizontal="center" vertical="top"/>
    </xf>
    <xf numFmtId="0" fontId="44" fillId="11" borderId="0" xfId="0" applyFont="1" applyFill="1" applyAlignment="1">
      <alignment horizontal="center" vertical="top"/>
    </xf>
    <xf numFmtId="0" fontId="13" fillId="0" borderId="0" xfId="0" applyFont="1" applyAlignment="1">
      <alignment horizontal="left" vertical="top" wrapText="1"/>
    </xf>
    <xf numFmtId="1" fontId="44" fillId="22"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8" borderId="0" xfId="0" applyFont="1" applyFill="1"/>
    <xf numFmtId="0" fontId="12" fillId="8" borderId="0" xfId="0" applyFont="1" applyFill="1" applyAlignment="1">
      <alignment horizontal="left"/>
    </xf>
    <xf numFmtId="0" fontId="2" fillId="8" borderId="0" xfId="0" applyFont="1" applyFill="1" applyAlignment="1">
      <alignment horizontal="left" indent="2"/>
    </xf>
    <xf numFmtId="0" fontId="2" fillId="8" borderId="0" xfId="0" applyFont="1" applyFill="1" applyAlignment="1">
      <alignment horizontal="right"/>
    </xf>
    <xf numFmtId="0" fontId="53" fillId="0" borderId="0" xfId="0" applyFont="1" applyAlignment="1">
      <alignment horizontal="right" vertical="top"/>
    </xf>
    <xf numFmtId="3" fontId="40" fillId="0" borderId="0" xfId="0" applyNumberFormat="1" applyFont="1"/>
    <xf numFmtId="3" fontId="54" fillId="0" borderId="0" xfId="0" applyNumberFormat="1" applyFont="1" applyAlignment="1">
      <alignment horizontal="right" vertical="top"/>
    </xf>
    <xf numFmtId="0" fontId="55" fillId="30"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5" fillId="30"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8"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0"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40"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0" fillId="10" borderId="0" xfId="0" applyFont="1" applyFill="1" applyAlignment="1">
      <alignment horizontal="right"/>
    </xf>
    <xf numFmtId="0" fontId="7" fillId="10"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6" borderId="0" xfId="0" applyFont="1" applyFill="1"/>
    <xf numFmtId="0" fontId="28" fillId="24" borderId="1" xfId="0" applyFont="1" applyFill="1" applyBorder="1" applyAlignment="1">
      <alignment horizontal="left" indent="2"/>
    </xf>
    <xf numFmtId="0" fontId="2" fillId="0" borderId="0" xfId="0" applyFont="1" applyBorder="1"/>
    <xf numFmtId="168" fontId="2" fillId="0" borderId="0" xfId="0" applyNumberFormat="1" applyFont="1" applyBorder="1" applyAlignment="1">
      <alignment horizontal="center"/>
    </xf>
    <xf numFmtId="168" fontId="2" fillId="7" borderId="0" xfId="0" applyNumberFormat="1" applyFont="1" applyFill="1" applyBorder="1" applyAlignment="1">
      <alignment horizontal="center"/>
    </xf>
    <xf numFmtId="0" fontId="68" fillId="0" borderId="1" xfId="0" applyFont="1" applyBorder="1"/>
    <xf numFmtId="168" fontId="68" fillId="11" borderId="2" xfId="0" applyNumberFormat="1" applyFont="1" applyFill="1" applyBorder="1" applyAlignment="1">
      <alignment horizontal="center"/>
    </xf>
    <xf numFmtId="168" fontId="68" fillId="7" borderId="44" xfId="0" applyNumberFormat="1" applyFont="1" applyFill="1" applyBorder="1" applyAlignment="1">
      <alignment horizontal="center"/>
    </xf>
    <xf numFmtId="168" fontId="68" fillId="7" borderId="2" xfId="0" applyNumberFormat="1" applyFont="1" applyFill="1" applyBorder="1" applyAlignment="1">
      <alignment horizontal="center"/>
    </xf>
    <xf numFmtId="168" fontId="68" fillId="11" borderId="3" xfId="0" applyNumberFormat="1" applyFont="1" applyFill="1" applyBorder="1" applyAlignment="1">
      <alignment horizontal="center"/>
    </xf>
    <xf numFmtId="168" fontId="68" fillId="7" borderId="0" xfId="0" applyNumberFormat="1" applyFont="1" applyFill="1" applyAlignment="1">
      <alignment horizontal="center"/>
    </xf>
    <xf numFmtId="168" fontId="68" fillId="0" borderId="3" xfId="0" applyNumberFormat="1" applyFont="1" applyBorder="1" applyAlignment="1">
      <alignment horizontal="center"/>
    </xf>
    <xf numFmtId="168" fontId="69" fillId="0" borderId="8" xfId="0" applyNumberFormat="1" applyFont="1" applyBorder="1" applyAlignment="1">
      <alignment horizontal="center"/>
    </xf>
    <xf numFmtId="168" fontId="69" fillId="7" borderId="7" xfId="0" applyNumberFormat="1" applyFont="1" applyFill="1" applyBorder="1" applyAlignment="1">
      <alignment horizontal="center"/>
    </xf>
    <xf numFmtId="168" fontId="69" fillId="7" borderId="8" xfId="0" applyNumberFormat="1" applyFont="1" applyFill="1" applyBorder="1" applyAlignment="1">
      <alignment horizontal="center"/>
    </xf>
    <xf numFmtId="0" fontId="68" fillId="0" borderId="4" xfId="0" applyFont="1" applyFill="1" applyBorder="1"/>
    <xf numFmtId="0" fontId="69" fillId="18" borderId="6" xfId="0" applyFont="1" applyFill="1" applyBorder="1"/>
    <xf numFmtId="169" fontId="69" fillId="11" borderId="8" xfId="0" applyNumberFormat="1" applyFont="1" applyFill="1" applyBorder="1" applyAlignment="1">
      <alignment horizontal="center"/>
    </xf>
    <xf numFmtId="169" fontId="69" fillId="7" borderId="7" xfId="0" applyNumberFormat="1" applyFont="1" applyFill="1" applyBorder="1" applyAlignment="1">
      <alignment horizontal="center"/>
    </xf>
    <xf numFmtId="169" fontId="69" fillId="7" borderId="8" xfId="0" applyNumberFormat="1" applyFont="1" applyFill="1" applyBorder="1" applyAlignment="1">
      <alignment horizontal="center"/>
    </xf>
    <xf numFmtId="0" fontId="3" fillId="0" borderId="0" xfId="0" applyFont="1" applyAlignment="1">
      <alignment horizontal="center"/>
    </xf>
    <xf numFmtId="0" fontId="1" fillId="0" borderId="0" xfId="0" applyFont="1"/>
    <xf numFmtId="0" fontId="2" fillId="0" borderId="1" xfId="0" applyFont="1" applyBorder="1" applyAlignment="1">
      <alignment horizontal="left" wrapText="1"/>
    </xf>
    <xf numFmtId="0" fontId="2" fillId="0" borderId="0" xfId="0" applyFont="1" applyAlignment="1">
      <alignment horizontal="left"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 fillId="0" borderId="0" xfId="0" applyFont="1" applyAlignment="1">
      <alignment horizontal="left" wrapText="1"/>
    </xf>
    <xf numFmtId="0" fontId="15" fillId="0" borderId="0" xfId="0" applyFont="1"/>
    <xf numFmtId="0" fontId="16" fillId="0" borderId="0" xfId="0" applyFont="1"/>
    <xf numFmtId="0" fontId="17" fillId="0" borderId="0" xfId="0" applyFont="1"/>
    <xf numFmtId="0" fontId="1" fillId="11" borderId="0" xfId="0" applyFont="1" applyFill="1" applyAlignment="1">
      <alignment horizontal="center"/>
    </xf>
    <xf numFmtId="0" fontId="18" fillId="0" borderId="0" xfId="0" applyFont="1" applyAlignment="1">
      <alignment wrapText="1"/>
    </xf>
    <xf numFmtId="0" fontId="1" fillId="0" borderId="0" xfId="0" applyFont="1"/>
    <xf numFmtId="0" fontId="4"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4" xfId="0" applyFont="1" applyFill="1" applyBorder="1" applyAlignment="1">
      <alignment horizontal="center"/>
    </xf>
    <xf numFmtId="0" fontId="12" fillId="11" borderId="2" xfId="0" applyFont="1" applyFill="1" applyBorder="1" applyAlignment="1">
      <alignment horizontal="center"/>
    </xf>
    <xf numFmtId="0" fontId="12" fillId="11" borderId="1" xfId="0" applyFont="1" applyFill="1" applyBorder="1" applyAlignment="1">
      <alignment horizontal="center"/>
    </xf>
    <xf numFmtId="0" fontId="12" fillId="11" borderId="3" xfId="0" applyFont="1" applyFill="1" applyBorder="1" applyAlignment="1">
      <alignment horizontal="center"/>
    </xf>
    <xf numFmtId="0" fontId="2" fillId="7" borderId="44"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7" borderId="4" xfId="0" applyFont="1" applyFill="1" applyBorder="1" applyAlignment="1">
      <alignment horizontal="center"/>
    </xf>
    <xf numFmtId="0" fontId="2" fillId="11" borderId="4" xfId="0" applyFont="1" applyFill="1" applyBorder="1" applyAlignment="1">
      <alignment horizontal="right"/>
    </xf>
    <xf numFmtId="0" fontId="2" fillId="11" borderId="44"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6" xfId="0" applyFont="1" applyFill="1" applyBorder="1" applyAlignment="1">
      <alignment horizontal="center"/>
    </xf>
    <xf numFmtId="0" fontId="12" fillId="11" borderId="8" xfId="0" applyFont="1" applyFill="1" applyBorder="1" applyAlignment="1">
      <alignment horizontal="center"/>
    </xf>
    <xf numFmtId="0" fontId="2" fillId="11" borderId="1" xfId="0" applyFont="1" applyFill="1" applyBorder="1" applyAlignment="1">
      <alignment horizontal="center"/>
    </xf>
    <xf numFmtId="0" fontId="2" fillId="11" borderId="0" xfId="0" applyFont="1" applyFill="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12"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1" borderId="3" xfId="0" applyFont="1" applyFill="1" applyBorder="1" applyAlignment="1">
      <alignment horizontal="center"/>
    </xf>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center" wrapText="1"/>
    </xf>
    <xf numFmtId="0" fontId="12" fillId="11" borderId="44" xfId="0" applyFont="1" applyFill="1" applyBorder="1" applyAlignment="1">
      <alignment horizontal="center"/>
    </xf>
    <xf numFmtId="0" fontId="12" fillId="11" borderId="4"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3" xfId="0" applyFont="1" applyFill="1" applyBorder="1" applyAlignment="1">
      <alignment horizontal="center" vertical="center"/>
    </xf>
    <xf numFmtId="0" fontId="2" fillId="11" borderId="4" xfId="0" applyFont="1" applyFill="1" applyBorder="1" applyAlignment="1">
      <alignment horizontal="center" vertical="center"/>
    </xf>
    <xf numFmtId="0" fontId="2" fillId="11" borderId="5"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4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2" fillId="11" borderId="4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12" fillId="7" borderId="55" xfId="0" applyFont="1" applyFill="1" applyBorder="1" applyAlignment="1">
      <alignment horizontal="center"/>
    </xf>
    <xf numFmtId="0" fontId="12" fillId="7" borderId="56" xfId="0" applyFont="1" applyFill="1" applyBorder="1" applyAlignment="1">
      <alignment horizontal="center"/>
    </xf>
    <xf numFmtId="0" fontId="12" fillId="0" borderId="0" xfId="0" applyFont="1" applyAlignment="1">
      <alignment horizontal="left" wrapText="1"/>
    </xf>
    <xf numFmtId="0" fontId="12" fillId="11" borderId="5" xfId="0" applyFont="1" applyFill="1" applyBorder="1" applyAlignment="1">
      <alignment horizontal="center"/>
    </xf>
    <xf numFmtId="0" fontId="12" fillId="11" borderId="0" xfId="0" applyFont="1" applyFill="1" applyAlignment="1">
      <alignment horizontal="center"/>
    </xf>
    <xf numFmtId="0" fontId="12" fillId="11" borderId="7"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4" borderId="1" xfId="0" applyFont="1" applyFill="1" applyBorder="1" applyAlignment="1">
      <alignment horizontal="left" wrapText="1" indent="3"/>
    </xf>
    <xf numFmtId="0" fontId="2" fillId="14" borderId="0" xfId="0" applyFont="1" applyFill="1" applyAlignment="1">
      <alignment horizontal="left" wrapText="1" indent="3"/>
    </xf>
    <xf numFmtId="0" fontId="2" fillId="14" borderId="3"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14" borderId="1" xfId="0" applyFont="1" applyFill="1" applyBorder="1" applyAlignment="1">
      <alignment horizontal="left" vertical="top" wrapText="1" indent="3"/>
    </xf>
    <xf numFmtId="0" fontId="2" fillId="14" borderId="0" xfId="0" applyFont="1" applyFill="1" applyAlignment="1">
      <alignment horizontal="left" vertical="top" wrapText="1" indent="3"/>
    </xf>
    <xf numFmtId="0" fontId="2" fillId="14"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32" fillId="0" borderId="0" xfId="0" applyFont="1" applyAlignment="1">
      <alignment horizontal="left" vertical="top" wrapText="1"/>
    </xf>
    <xf numFmtId="0" fontId="2" fillId="11" borderId="5" xfId="0" applyFont="1" applyFill="1" applyBorder="1" applyAlignment="1">
      <alignment horizontal="right"/>
    </xf>
    <xf numFmtId="0" fontId="12" fillId="14"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1" borderId="4" xfId="0" applyFont="1" applyFill="1" applyBorder="1" applyAlignment="1">
      <alignment horizontal="center" wrapText="1"/>
    </xf>
    <xf numFmtId="0" fontId="12" fillId="11" borderId="2"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9" xfId="0" applyNumberFormat="1" applyFont="1" applyBorder="1" applyAlignment="1">
      <alignment horizontal="center"/>
    </xf>
    <xf numFmtId="168" fontId="1" fillId="0" borderId="60" xfId="0" applyNumberFormat="1" applyFont="1" applyBorder="1" applyAlignment="1">
      <alignment horizontal="center"/>
    </xf>
    <xf numFmtId="1" fontId="1" fillId="0" borderId="61" xfId="0" applyNumberFormat="1" applyFont="1" applyBorder="1" applyAlignment="1">
      <alignment horizontal="center"/>
    </xf>
    <xf numFmtId="1" fontId="1" fillId="0" borderId="59" xfId="0" applyNumberFormat="1" applyFont="1" applyBorder="1" applyAlignment="1">
      <alignment horizontal="center"/>
    </xf>
    <xf numFmtId="1" fontId="1" fillId="0" borderId="60" xfId="0" applyNumberFormat="1"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44" xfId="0" applyFont="1" applyFill="1" applyBorder="1" applyAlignment="1">
      <alignment horizontal="center" wrapText="1"/>
    </xf>
    <xf numFmtId="0" fontId="34" fillId="0" borderId="7" xfId="0" applyFont="1" applyBorder="1" applyAlignment="1">
      <alignment horizontal="center"/>
    </xf>
    <xf numFmtId="0" fontId="34" fillId="0" borderId="0" xfId="0" applyFont="1" applyAlignment="1">
      <alignment horizontal="center"/>
    </xf>
    <xf numFmtId="0" fontId="2" fillId="7" borderId="0" xfId="0" applyFont="1" applyFill="1" applyAlignment="1">
      <alignment horizontal="center"/>
    </xf>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12" fillId="11" borderId="6" xfId="0" applyFont="1" applyFill="1" applyBorder="1" applyAlignment="1">
      <alignment horizontal="center" wrapText="1"/>
    </xf>
    <xf numFmtId="0" fontId="12" fillId="11" borderId="7" xfId="0" applyFont="1" applyFill="1" applyBorder="1" applyAlignment="1">
      <alignment horizontal="center" wrapText="1"/>
    </xf>
    <xf numFmtId="0" fontId="1" fillId="0" borderId="0" xfId="0" applyFont="1" applyAlignment="1">
      <alignment horizontal="left" vertical="top" wrapText="1"/>
    </xf>
    <xf numFmtId="0" fontId="3" fillId="11" borderId="4" xfId="0" applyFont="1" applyFill="1" applyBorder="1" applyAlignment="1">
      <alignment horizontal="center" wrapText="1"/>
    </xf>
    <xf numFmtId="0" fontId="3" fillId="11" borderId="5" xfId="0" applyFont="1" applyFill="1" applyBorder="1" applyAlignment="1">
      <alignment horizontal="center" wrapText="1"/>
    </xf>
    <xf numFmtId="0" fontId="3" fillId="11" borderId="1" xfId="0" applyFont="1" applyFill="1" applyBorder="1" applyAlignment="1">
      <alignment horizontal="center" wrapText="1"/>
    </xf>
    <xf numFmtId="0" fontId="3"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39" fillId="11" borderId="4" xfId="0" applyFont="1" applyFill="1" applyBorder="1" applyAlignment="1">
      <alignment horizontal="center"/>
    </xf>
    <xf numFmtId="0" fontId="39" fillId="11" borderId="5" xfId="0" applyFont="1" applyFill="1" applyBorder="1" applyAlignment="1">
      <alignment horizontal="center"/>
    </xf>
    <xf numFmtId="0" fontId="39" fillId="11" borderId="2" xfId="0" applyFont="1" applyFill="1" applyBorder="1" applyAlignment="1">
      <alignment horizontal="center"/>
    </xf>
    <xf numFmtId="0" fontId="1" fillId="11" borderId="44" xfId="0" applyFont="1" applyFill="1" applyBorder="1" applyAlignment="1">
      <alignment horizontal="center"/>
    </xf>
    <xf numFmtId="0" fontId="1" fillId="11" borderId="2"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0" borderId="0" xfId="0" applyFont="1" applyAlignment="1">
      <alignment horizontal="center" vertical="top" wrapText="1"/>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7" fillId="0" borderId="7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54" xfId="0" applyNumberFormat="1" applyFont="1" applyBorder="1" applyAlignment="1">
      <alignment horizontal="center" vertical="top"/>
    </xf>
    <xf numFmtId="1" fontId="47" fillId="0" borderId="55" xfId="0" applyNumberFormat="1" applyFont="1" applyBorder="1" applyAlignment="1">
      <alignment horizontal="center" vertical="top"/>
    </xf>
    <xf numFmtId="1" fontId="47" fillId="0" borderId="56"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10"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64" fillId="0" borderId="0" xfId="1"/>
    <xf numFmtId="168" fontId="66" fillId="0" borderId="86" xfId="3" applyNumberFormat="1" applyFont="1" applyBorder="1" applyAlignment="1">
      <alignment horizontal="center" vertical="center"/>
    </xf>
    <xf numFmtId="0" fontId="0" fillId="0" borderId="0" xfId="0"/>
    <xf numFmtId="0" fontId="0" fillId="0" borderId="0" xfId="0" applyNumberFormat="1" applyFont="1" applyAlignment="1">
      <alignment horizontal="left" wrapText="1" indent="3"/>
    </xf>
    <xf numFmtId="0" fontId="3" fillId="0" borderId="0" xfId="0" applyNumberFormat="1" applyFont="1" applyAlignment="1">
      <alignment horizontal="left" indent="1"/>
    </xf>
    <xf numFmtId="0" fontId="3" fillId="0" borderId="0" xfId="0" applyNumberFormat="1" applyFont="1" applyAlignment="1">
      <alignment horizontal="left" indent="2"/>
    </xf>
    <xf numFmtId="0" fontId="1" fillId="0" borderId="0" xfId="0" applyNumberFormat="1" applyFont="1" applyAlignment="1">
      <alignment horizontal="left" indent="4"/>
    </xf>
    <xf numFmtId="0" fontId="1" fillId="0" borderId="0" xfId="0" applyNumberFormat="1" applyFont="1" applyAlignment="1">
      <alignment horizontal="left" wrapText="1" indent="2"/>
    </xf>
    <xf numFmtId="0" fontId="1" fillId="0" borderId="0" xfId="0" applyNumberFormat="1" applyFont="1" applyAlignment="1">
      <alignment horizontal="left" indent="2"/>
    </xf>
    <xf numFmtId="165" fontId="72" fillId="0" borderId="84" xfId="3" applyNumberFormat="1" applyFont="1" applyFill="1" applyBorder="1" applyAlignment="1">
      <alignment horizontal="right"/>
    </xf>
    <xf numFmtId="165" fontId="72" fillId="0" borderId="85" xfId="3" applyNumberFormat="1" applyFont="1" applyFill="1" applyBorder="1" applyAlignment="1">
      <alignment horizontal="right"/>
    </xf>
    <xf numFmtId="165" fontId="72" fillId="0" borderId="86" xfId="3" applyNumberFormat="1" applyFont="1" applyFill="1" applyBorder="1" applyAlignment="1">
      <alignment horizontal="right"/>
    </xf>
    <xf numFmtId="165" fontId="72" fillId="0" borderId="87" xfId="3" applyNumberFormat="1" applyFont="1" applyFill="1" applyBorder="1" applyAlignment="1">
      <alignment horizontal="right"/>
    </xf>
    <xf numFmtId="165" fontId="72" fillId="0" borderId="0" xfId="3" applyNumberFormat="1" applyFont="1" applyFill="1" applyBorder="1" applyAlignment="1">
      <alignment horizontal="right"/>
    </xf>
    <xf numFmtId="165" fontId="72" fillId="0" borderId="65" xfId="3" applyNumberFormat="1" applyFont="1" applyFill="1" applyBorder="1" applyAlignment="1">
      <alignment horizontal="right"/>
    </xf>
    <xf numFmtId="165" fontId="66" fillId="0" borderId="87" xfId="3" applyNumberFormat="1" applyFont="1" applyFill="1" applyBorder="1" applyAlignment="1">
      <alignment horizontal="right"/>
    </xf>
    <xf numFmtId="165" fontId="66" fillId="0" borderId="0" xfId="3" applyNumberFormat="1" applyFont="1" applyFill="1" applyBorder="1" applyAlignment="1">
      <alignment horizontal="right"/>
    </xf>
    <xf numFmtId="165" fontId="66" fillId="0" borderId="65" xfId="3" applyNumberFormat="1" applyFont="1" applyFill="1" applyBorder="1" applyAlignment="1">
      <alignment horizontal="right"/>
    </xf>
    <xf numFmtId="3" fontId="66" fillId="0" borderId="87" xfId="3" applyNumberFormat="1" applyFont="1" applyFill="1" applyBorder="1" applyAlignment="1">
      <alignment horizontal="right"/>
    </xf>
    <xf numFmtId="3" fontId="66" fillId="0" borderId="0" xfId="3" applyNumberFormat="1" applyFont="1" applyFill="1" applyBorder="1" applyAlignment="1">
      <alignment horizontal="right"/>
    </xf>
    <xf numFmtId="3" fontId="66" fillId="0" borderId="65" xfId="3" applyNumberFormat="1" applyFont="1" applyFill="1" applyBorder="1" applyAlignment="1">
      <alignment horizontal="right"/>
    </xf>
    <xf numFmtId="3" fontId="66" fillId="0" borderId="88" xfId="3" applyNumberFormat="1" applyFont="1" applyFill="1" applyBorder="1" applyAlignment="1">
      <alignment horizontal="right"/>
    </xf>
    <xf numFmtId="3" fontId="66" fillId="0" borderId="64" xfId="3" applyNumberFormat="1" applyFont="1" applyFill="1" applyBorder="1" applyAlignment="1">
      <alignment horizontal="right"/>
    </xf>
    <xf numFmtId="3" fontId="66" fillId="0" borderId="89" xfId="3" applyNumberFormat="1" applyFont="1" applyFill="1" applyBorder="1" applyAlignment="1">
      <alignment horizontal="right"/>
    </xf>
    <xf numFmtId="0" fontId="1" fillId="0" borderId="0" xfId="0" applyNumberFormat="1" applyFont="1" applyAlignment="1">
      <alignment horizontal="left" indent="3"/>
    </xf>
    <xf numFmtId="0" fontId="1" fillId="0" borderId="0" xfId="0" applyNumberFormat="1" applyFont="1" applyAlignment="1">
      <alignment horizontal="left" indent="5"/>
    </xf>
    <xf numFmtId="0" fontId="1" fillId="0" borderId="0" xfId="0" applyNumberFormat="1" applyFont="1" applyAlignment="1">
      <alignment horizontal="left" wrapText="1" indent="5"/>
    </xf>
    <xf numFmtId="0" fontId="3" fillId="0" borderId="0" xfId="0" applyNumberFormat="1" applyFont="1" applyAlignment="1">
      <alignment horizontal="left" wrapText="1" indent="1"/>
    </xf>
    <xf numFmtId="0" fontId="1" fillId="0" borderId="0" xfId="0" applyNumberFormat="1" applyFont="1" applyAlignment="1">
      <alignment horizontal="left" wrapText="1" indent="3"/>
    </xf>
    <xf numFmtId="1" fontId="66" fillId="0" borderId="60" xfId="3" applyNumberFormat="1" applyFont="1" applyBorder="1" applyAlignment="1">
      <alignment horizontal="center"/>
    </xf>
    <xf numFmtId="168" fontId="66" fillId="0" borderId="66" xfId="0" applyNumberFormat="1" applyFont="1" applyBorder="1" applyAlignment="1">
      <alignment horizontal="center"/>
    </xf>
    <xf numFmtId="0" fontId="3" fillId="0" borderId="0" xfId="0" applyNumberFormat="1" applyFont="1" applyAlignment="1">
      <alignment horizontal="left"/>
    </xf>
    <xf numFmtId="0" fontId="1" fillId="0" borderId="0" xfId="0" applyNumberFormat="1" applyFont="1" applyAlignment="1">
      <alignment horizontal="left" indent="1"/>
    </xf>
    <xf numFmtId="1" fontId="66" fillId="0" borderId="86" xfId="3" applyNumberFormat="1" applyFont="1" applyBorder="1" applyAlignment="1">
      <alignment horizontal="center"/>
    </xf>
    <xf numFmtId="1" fontId="66" fillId="0" borderId="65" xfId="3" applyNumberFormat="1" applyFont="1" applyBorder="1" applyAlignment="1">
      <alignment horizontal="center"/>
    </xf>
    <xf numFmtId="1" fontId="66" fillId="0" borderId="65" xfId="3" applyNumberFormat="1" applyFont="1" applyBorder="1" applyAlignment="1">
      <alignment horizontal="center" vertical="top"/>
    </xf>
    <xf numFmtId="1" fontId="66" fillId="0" borderId="89" xfId="3" applyNumberFormat="1" applyFont="1" applyBorder="1" applyAlignment="1">
      <alignment horizontal="center"/>
    </xf>
    <xf numFmtId="168" fontId="66" fillId="0" borderId="65" xfId="3" applyNumberFormat="1" applyFont="1" applyBorder="1" applyAlignment="1">
      <alignment horizontal="center" vertical="center"/>
    </xf>
    <xf numFmtId="168" fontId="66" fillId="0" borderId="89" xfId="3" applyNumberFormat="1" applyFont="1" applyBorder="1" applyAlignment="1">
      <alignment horizontal="center" vertical="center"/>
    </xf>
    <xf numFmtId="168" fontId="66" fillId="0" borderId="85" xfId="3" applyNumberFormat="1" applyFont="1" applyBorder="1" applyAlignment="1">
      <alignment horizontal="left" indent="1"/>
    </xf>
    <xf numFmtId="49" fontId="66" fillId="0" borderId="0" xfId="3" applyNumberFormat="1" applyFont="1" applyAlignment="1">
      <alignment horizontal="left" wrapText="1" indent="1"/>
    </xf>
    <xf numFmtId="168" fontId="66" fillId="0" borderId="0" xfId="3" applyNumberFormat="1" applyFont="1" applyAlignment="1">
      <alignment horizontal="left" wrapText="1" indent="1"/>
    </xf>
    <xf numFmtId="0" fontId="63" fillId="0" borderId="0" xfId="3" applyFont="1" applyAlignment="1">
      <alignment horizontal="left" indent="1"/>
    </xf>
    <xf numFmtId="168" fontId="66" fillId="0" borderId="82" xfId="3" applyNumberFormat="1" applyFont="1" applyBorder="1" applyAlignment="1">
      <alignment horizontal="center"/>
    </xf>
    <xf numFmtId="168" fontId="66" fillId="0" borderId="67" xfId="3" applyNumberFormat="1" applyFont="1" applyBorder="1" applyAlignment="1">
      <alignment horizontal="center"/>
    </xf>
    <xf numFmtId="168" fontId="66" fillId="0" borderId="83" xfId="3" applyNumberFormat="1" applyFont="1" applyBorder="1" applyAlignment="1">
      <alignment horizontal="center"/>
    </xf>
    <xf numFmtId="168" fontId="66" fillId="0" borderId="59" xfId="3" applyNumberFormat="1" applyFont="1" applyBorder="1" applyAlignment="1">
      <alignment horizontal="center"/>
    </xf>
    <xf numFmtId="168" fontId="66" fillId="0" borderId="60" xfId="3" applyNumberFormat="1" applyFont="1" applyBorder="1" applyAlignment="1">
      <alignment horizontal="center"/>
    </xf>
    <xf numFmtId="1" fontId="66" fillId="0" borderId="61" xfId="3" applyNumberFormat="1" applyFont="1" applyBorder="1" applyAlignment="1">
      <alignment horizontal="center"/>
    </xf>
    <xf numFmtId="1" fontId="66" fillId="0" borderId="59" xfId="3" applyNumberFormat="1" applyFont="1" applyBorder="1" applyAlignment="1">
      <alignment horizontal="center"/>
    </xf>
    <xf numFmtId="1" fontId="66" fillId="0" borderId="60" xfId="3" applyNumberFormat="1" applyFont="1" applyBorder="1" applyAlignment="1">
      <alignment horizontal="center"/>
    </xf>
    <xf numFmtId="9" fontId="1" fillId="0" borderId="3" xfId="0" applyNumberFormat="1" applyFont="1" applyFill="1" applyBorder="1"/>
    <xf numFmtId="2" fontId="1" fillId="0" borderId="18" xfId="0" applyNumberFormat="1" applyFont="1" applyFill="1" applyBorder="1"/>
    <xf numFmtId="3" fontId="75" fillId="0" borderId="7" xfId="6" applyNumberFormat="1" applyFont="1" applyBorder="1" applyAlignment="1">
      <alignment horizontal="right"/>
    </xf>
    <xf numFmtId="0" fontId="2" fillId="0" borderId="90" xfId="0" applyFont="1" applyBorder="1" applyAlignment="1">
      <alignment wrapText="1"/>
    </xf>
    <xf numFmtId="0" fontId="2" fillId="0" borderId="91" xfId="0" applyFont="1" applyBorder="1"/>
    <xf numFmtId="1" fontId="2" fillId="0" borderId="91" xfId="0" applyNumberFormat="1" applyFont="1" applyBorder="1"/>
    <xf numFmtId="168" fontId="2" fillId="0" borderId="92" xfId="0" applyNumberFormat="1" applyFont="1" applyBorder="1"/>
    <xf numFmtId="3" fontId="75" fillId="0" borderId="8" xfId="6" applyNumberFormat="1" applyFont="1" applyBorder="1" applyAlignment="1">
      <alignment horizontal="right"/>
    </xf>
    <xf numFmtId="167" fontId="2" fillId="7" borderId="0" xfId="2" applyNumberFormat="1" applyFont="1" applyFill="1"/>
    <xf numFmtId="167" fontId="2" fillId="7" borderId="3" xfId="2" applyNumberFormat="1" applyFont="1" applyFill="1" applyBorder="1"/>
    <xf numFmtId="165" fontId="23" fillId="7" borderId="0" xfId="0" applyNumberFormat="1" applyFont="1" applyFill="1" applyAlignment="1">
      <alignment horizontal="center"/>
    </xf>
    <xf numFmtId="165" fontId="23" fillId="7" borderId="3" xfId="0" applyNumberFormat="1" applyFont="1" applyFill="1" applyBorder="1" applyAlignment="1">
      <alignment horizontal="center"/>
    </xf>
    <xf numFmtId="168" fontId="0" fillId="0" borderId="0" xfId="0" applyNumberFormat="1"/>
    <xf numFmtId="1" fontId="0" fillId="0" borderId="0" xfId="0" applyNumberFormat="1"/>
    <xf numFmtId="0" fontId="0" fillId="0" borderId="0" xfId="0" applyAlignment="1">
      <alignment horizontal="center" wrapText="1"/>
    </xf>
    <xf numFmtId="1" fontId="2" fillId="0" borderId="0" xfId="0" applyNumberFormat="1" applyFont="1" applyAlignment="1">
      <alignment horizontal="right" vertical="top" wrapText="1"/>
    </xf>
    <xf numFmtId="1" fontId="2" fillId="0" borderId="3" xfId="0" applyNumberFormat="1" applyFont="1" applyBorder="1" applyAlignment="1">
      <alignment horizontal="right" vertical="top" wrapText="1"/>
    </xf>
  </cellXfs>
  <cellStyles count="898">
    <cellStyle name="20% - Accent1 2" xfId="219" xr:uid="{B15A1791-52C3-42DF-AC9E-363A55D9451E}"/>
    <cellStyle name="20% - Accent2 2" xfId="220" xr:uid="{EDC9A7E8-EC28-48D5-9C89-E7A5DBDF2905}"/>
    <cellStyle name="20% - Accent3 2" xfId="221" xr:uid="{E9EF883A-5BF9-45BA-92FC-D1189C5CBC16}"/>
    <cellStyle name="20% - Accent4 2" xfId="222" xr:uid="{194BF8C8-8E4F-4048-AD70-2629D4421380}"/>
    <cellStyle name="20% - Accent5 2" xfId="223" xr:uid="{F763BC87-66C6-4D45-B5C8-8BEF9C6BAC1A}"/>
    <cellStyle name="20% - Accent6 2" xfId="224" xr:uid="{951A5431-9D97-4E11-B744-43E38D1120C8}"/>
    <cellStyle name="40% - Accent1 2" xfId="225" xr:uid="{653C5E27-11D6-4CE8-9AD7-6E7999B32A7E}"/>
    <cellStyle name="40% - Accent2 2" xfId="226" xr:uid="{A46767FC-1409-4885-B588-89BA58ED0AE9}"/>
    <cellStyle name="40% - Accent3 2" xfId="227" xr:uid="{BCFA4497-90A6-497F-BFF6-4DE824D1BD81}"/>
    <cellStyle name="40% - Accent4 2" xfId="228" xr:uid="{9C78C31F-97FA-46C3-8EAC-2220F75CF951}"/>
    <cellStyle name="40% - Accent5 2" xfId="229" xr:uid="{C2D2DC7A-E82F-48B0-AD52-B366F3C088AF}"/>
    <cellStyle name="40% - Accent6 2" xfId="230" xr:uid="{95238838-F5EC-4AEE-A12B-CEEA2C6935A8}"/>
    <cellStyle name="60% - Accent1 2" xfId="231" xr:uid="{DE61DA9A-FB26-48DE-9D0E-5DD6662B0D21}"/>
    <cellStyle name="60% - Accent2 2" xfId="232" xr:uid="{57F9CA85-47FC-4C1E-AC56-6AE0285B9EE0}"/>
    <cellStyle name="60% - Accent3 2" xfId="233" xr:uid="{85DE270B-3CB1-4A19-BBB4-BA496027D591}"/>
    <cellStyle name="60% - Accent4 2" xfId="234" xr:uid="{694B4B7D-37BE-40FF-9F51-A474263074E1}"/>
    <cellStyle name="60% - Accent5 2" xfId="235" xr:uid="{114A217E-DB45-4509-ACDD-6776BFBA1709}"/>
    <cellStyle name="60% - Accent6 2" xfId="236" xr:uid="{52EF61E8-8FF6-43F3-A8BF-7702BC93620F}"/>
    <cellStyle name="Accent1 2" xfId="237" xr:uid="{EFA3CB47-2349-45B5-9843-A89A9085B37A}"/>
    <cellStyle name="Accent2 2" xfId="238" xr:uid="{BFB02BCA-AEA2-4509-9405-8FAE1CFCB4FA}"/>
    <cellStyle name="Accent3 2" xfId="239" xr:uid="{BE3F7D34-1E43-46EB-8843-320B8C1C383F}"/>
    <cellStyle name="Accent4 2" xfId="240" xr:uid="{DBC05DD7-42BB-4150-84F2-EDDAB174D084}"/>
    <cellStyle name="Accent5 2" xfId="241" xr:uid="{7A1C52A6-B18F-484D-B916-D5B477296612}"/>
    <cellStyle name="Accent6 2" xfId="242" xr:uid="{04D165B9-02AB-468C-827E-836350091400}"/>
    <cellStyle name="Bad 2" xfId="243" xr:uid="{6ECEDD6E-23C6-4F83-B4F2-118BEAF54697}"/>
    <cellStyle name="Calculation 2" xfId="244" xr:uid="{7427CC57-38E1-4FEC-8CE6-9B9FEB243CBE}"/>
    <cellStyle name="Check Cell 2" xfId="245" xr:uid="{4C0E0A1B-524A-4342-86D9-5565F68D1A15}"/>
    <cellStyle name="Comma 2" xfId="10" xr:uid="{12FF953F-A072-4293-833B-C100563B35A0}"/>
    <cellStyle name="Comma 2 2" xfId="21" xr:uid="{BF3DBB37-C917-4CDB-8FC2-53FDDA18D7D4}"/>
    <cellStyle name="Comma 2 2 2" xfId="45" xr:uid="{EA61C81E-D913-4B35-9612-1E8260571A6E}"/>
    <cellStyle name="Comma 2 3" xfId="246" xr:uid="{CD415F46-FA26-4D5E-927E-B46260A84BCD}"/>
    <cellStyle name="Comma 2 4" xfId="247" xr:uid="{463AE640-BE5A-4192-B836-0EB43238EBA9}"/>
    <cellStyle name="Comma 2 5" xfId="248" xr:uid="{DBC4C324-F2C0-4E47-836F-F1FD2D1F547B}"/>
    <cellStyle name="Comma 2 6" xfId="249" xr:uid="{55A47056-5334-4722-8B13-09F81C2E8BCE}"/>
    <cellStyle name="Comma 2 7" xfId="530" xr:uid="{4F7FC88B-219B-4E55-A622-62EDB14C5B79}"/>
    <cellStyle name="Comma 2 8" xfId="40" xr:uid="{2B6DB029-8835-4FEC-8F0D-1BA8A4C808BA}"/>
    <cellStyle name="Comma 2 8 2" xfId="892" xr:uid="{4A246DAD-3D28-451C-A89F-5B84A42964D7}"/>
    <cellStyle name="Comma 3" xfId="27" xr:uid="{B25E3529-66B8-497D-B7E6-458B8A4251A6}"/>
    <cellStyle name="Comma 3 2" xfId="46" xr:uid="{93B6B6C9-A134-41BA-B69C-F8AB90797FAB}"/>
    <cellStyle name="Comma 3 2 2" xfId="893" xr:uid="{C3A1C469-6922-42B6-A547-8745E95284E2}"/>
    <cellStyle name="Comma 4" xfId="29" xr:uid="{E60C138D-9750-41ED-91DB-96ACA914EB25}"/>
    <cellStyle name="Comma 4 2" xfId="250" xr:uid="{F5A507EF-AF7F-476E-85E2-FCC1C90A3DFD}"/>
    <cellStyle name="Comma 5" xfId="533" xr:uid="{5021E669-3997-4076-A67F-C7756A984406}"/>
    <cellStyle name="Comma 6" xfId="896" xr:uid="{D99FFE06-44E6-4008-A9B5-21DCDE18F533}"/>
    <cellStyle name="Comma 9" xfId="251" xr:uid="{2E2BE683-7128-4723-88E4-AFDFD0EE01DE}"/>
    <cellStyle name="Comma0" xfId="252" xr:uid="{EF58651C-3E2B-453A-9D17-779825E9DF8F}"/>
    <cellStyle name="Currency 2" xfId="253" xr:uid="{0018EC49-38F0-425B-9909-A254F5587B03}"/>
    <cellStyle name="Currency 3" xfId="254" xr:uid="{78C9208E-92C2-49F0-866D-7171042A34A9}"/>
    <cellStyle name="Currency0" xfId="528" xr:uid="{E1428679-E723-493B-B5F2-218852BC5DB4}"/>
    <cellStyle name="Explanatory Text 2" xfId="255" xr:uid="{081CFE39-F7B4-4B12-BA55-8E931CD7DB6C}"/>
    <cellStyle name="Explanatory Text 3" xfId="897" xr:uid="{FFA769BF-4660-4DFB-8430-55CF74748E31}"/>
    <cellStyle name="Good 2" xfId="256" xr:uid="{D2AA6A60-C1F3-4245-B696-6DD3AC6C2DC4}"/>
    <cellStyle name="Heading 1 2" xfId="257" xr:uid="{472034BA-B715-421B-A80D-D02441E56FE5}"/>
    <cellStyle name="Heading 2 2" xfId="258" xr:uid="{3A684A0B-353E-4D04-9CC7-48339DA6F73B}"/>
    <cellStyle name="Heading 3 2" xfId="259" xr:uid="{F873B636-B3E9-4B19-9D0E-2F8D64AD2D60}"/>
    <cellStyle name="Heading 4 2" xfId="260" xr:uid="{78B75823-E1EE-4BDD-A155-125E73B0ADDC}"/>
    <cellStyle name="Hyperlink" xfId="1" builtinId="8"/>
    <cellStyle name="Hyperlink 16" xfId="33" xr:uid="{BF8332F2-BB1C-4470-960C-24194E5B7F96}"/>
    <cellStyle name="Hyperlink 2" xfId="24" xr:uid="{7E62FE7A-FF7A-4CBF-83E8-E80E58725EE5}"/>
    <cellStyle name="Hyperlink 2 2" xfId="47" xr:uid="{72450808-CA32-4733-B455-0B95DCB78E73}"/>
    <cellStyle name="Hyperlink 2 2 2" xfId="890" xr:uid="{ACA60D90-1879-4EC0-B757-24AB4988547A}"/>
    <cellStyle name="Hyperlink 3" xfId="30" xr:uid="{8E59B08C-14F1-4F11-9241-2E45177C729C}"/>
    <cellStyle name="Hyperlink 3 2" xfId="49" xr:uid="{7A8F4322-1FBD-4BB4-B544-BC807725AC89}"/>
    <cellStyle name="Hyperlink 3 3" xfId="32" xr:uid="{FE4E346E-AEB5-4725-9A05-FBBE335B027E}"/>
    <cellStyle name="Hyperlink 3 4" xfId="535" xr:uid="{F2EC7751-DF6B-455B-BDA2-A9EC87BAD64D}"/>
    <cellStyle name="Hyperlink 4" xfId="54" xr:uid="{D01BA993-B8CE-4C89-9DD8-EB7F9AD1F478}"/>
    <cellStyle name="Hyperlink 5" xfId="341" xr:uid="{EE0428B2-2117-492E-BCD7-E895ECB25597}"/>
    <cellStyle name="Hyperlink 6" xfId="35" xr:uid="{FF9EB86A-052C-4926-95B5-9686893269D7}"/>
    <cellStyle name="Hyperlink 6 2" xfId="525" xr:uid="{6236A2A5-8BA0-4874-81B4-AA17F435D136}"/>
    <cellStyle name="Hyperlink 7" xfId="18" xr:uid="{8F2A0FCF-1378-4625-B460-92F4D6F7FFAD}"/>
    <cellStyle name="Input 2" xfId="261" xr:uid="{1645A34F-0F34-4CA7-BBDC-F8E7F0FFE195}"/>
    <cellStyle name="Linked Cell 2" xfId="262" xr:uid="{96665854-0870-40D9-9476-06D3255E627D}"/>
    <cellStyle name="Neutral 2" xfId="263" xr:uid="{EFDC55A7-4C68-410C-9130-3F9B1498FE24}"/>
    <cellStyle name="Normal" xfId="0" builtinId="0"/>
    <cellStyle name="Normal 10" xfId="52" xr:uid="{3479D2CE-5C56-42C7-8DAC-AED7A11791E1}"/>
    <cellStyle name="Normal 10 2" xfId="343" xr:uid="{8CD92CD3-04C8-49BB-84AA-9515DD5EB901}"/>
    <cellStyle name="Normal 10 2 2" xfId="713" xr:uid="{BC197611-07F3-4B21-A707-4F51109593AC}"/>
    <cellStyle name="Normal 10 3" xfId="537" xr:uid="{B0FEFE9E-ADC8-47D3-85D7-F8C7F8A156A5}"/>
    <cellStyle name="Normal 11" xfId="264" xr:uid="{5F8A8BAD-1D4E-4086-8CFF-DAC3448BD2B9}"/>
    <cellStyle name="Normal 11 2" xfId="265" xr:uid="{B486E3E1-C33C-4607-9584-85065B7A1D56}"/>
    <cellStyle name="Normal 11 2 2" xfId="700" xr:uid="{F6CA99CA-E409-41BD-A52A-019A901CE7D2}"/>
    <cellStyle name="Normal 11 3" xfId="266" xr:uid="{0F20871D-A5A5-46FB-9727-B23966F3C87D}"/>
    <cellStyle name="Normal 11 3 2" xfId="701" xr:uid="{6DD6B424-53F4-4B35-BC88-3FF0E44511A9}"/>
    <cellStyle name="Normal 11 4" xfId="267" xr:uid="{C6AF4063-331F-4731-AC8C-91735F38F742}"/>
    <cellStyle name="Normal 11 4 2" xfId="702" xr:uid="{FECF7270-30B6-4ACA-9596-FABB3786C478}"/>
    <cellStyle name="Normal 110" xfId="11" xr:uid="{BF75408D-0145-4BE4-89CE-D3626AA97430}"/>
    <cellStyle name="Normal 110 2" xfId="22" xr:uid="{AF9F8D7B-D6A0-4E9A-A18F-4050272BDEBE}"/>
    <cellStyle name="Normal 110 3" xfId="889" xr:uid="{88B5D77C-9B2C-45C8-97C8-5526D8B41E99}"/>
    <cellStyle name="Normal 12" xfId="268" xr:uid="{19C74128-4CF3-4275-A47A-E68CD487C9A5}"/>
    <cellStyle name="Normal 12 2" xfId="269" xr:uid="{C1D4695B-69B4-481A-B637-47BDBF8E76BD}"/>
    <cellStyle name="Normal 12 2 2" xfId="703" xr:uid="{0EB1EF6C-0D98-4DC2-B066-B47FE77E321F}"/>
    <cellStyle name="Normal 12 3" xfId="270" xr:uid="{F1878EBE-C5F4-416C-AFBD-6F22B12C5893}"/>
    <cellStyle name="Normal 12 3 2" xfId="704" xr:uid="{0BDD2212-AF55-48BF-9000-FC9F33024D40}"/>
    <cellStyle name="Normal 12 4" xfId="271" xr:uid="{3669E200-F704-47BB-8443-C1F2F32213F9}"/>
    <cellStyle name="Normal 12 4 2" xfId="705" xr:uid="{DE8B0A69-861C-4565-B6DD-AF2CBFEBD2E8}"/>
    <cellStyle name="Normal 13" xfId="272" xr:uid="{B4192335-F466-4C3F-8B68-E0BECC1BAC98}"/>
    <cellStyle name="Normal 13 2" xfId="273" xr:uid="{3F4E9526-86E1-4AA1-A236-1285199910AC}"/>
    <cellStyle name="Normal 13 2 2" xfId="706" xr:uid="{4826E9F8-45CD-4A00-81ED-79F7A4649305}"/>
    <cellStyle name="Normal 13 3" xfId="274" xr:uid="{0B8B7AEE-B393-4868-8E75-3A051058E385}"/>
    <cellStyle name="Normal 13 3 2" xfId="707" xr:uid="{093BB6DA-3B65-4209-82C9-5EF42624E3C2}"/>
    <cellStyle name="Normal 13 4" xfId="275" xr:uid="{49F7C5F3-B8AD-41AC-9D1E-A5BE8C4A2930}"/>
    <cellStyle name="Normal 13 4 2" xfId="708" xr:uid="{63B2E7BA-B724-4C29-BDB2-928C651191B1}"/>
    <cellStyle name="Normal 14" xfId="276" xr:uid="{BD848689-C145-4D47-BB1D-191C67E5CE71}"/>
    <cellStyle name="Normal 14 2" xfId="277" xr:uid="{67E70D0F-2163-4FF0-B728-1080FD55BE14}"/>
    <cellStyle name="Normal 15" xfId="278" xr:uid="{F792AB7A-373E-4902-84AB-C58786AEDC06}"/>
    <cellStyle name="Normal 16" xfId="279" xr:uid="{B9F58B3E-B785-4812-83F4-9D8FE62BEB75}"/>
    <cellStyle name="Normal 17" xfId="280" xr:uid="{51F49BCA-6E18-4755-A944-A89987A4B0BF}"/>
    <cellStyle name="Normal 18" xfId="281" xr:uid="{6F1AC8B8-C3AC-48BD-B491-75DA532C7714}"/>
    <cellStyle name="Normal 19" xfId="31" xr:uid="{2FDD0548-5BEB-435A-875E-F57D612C74EE}"/>
    <cellStyle name="Normal 2" xfId="3" xr:uid="{9BC917F6-8D75-4F31-A7F6-F3FE54AA522A}"/>
    <cellStyle name="Normal 2 10" xfId="55" xr:uid="{80B146DF-9CF8-4521-B915-A2937871B816}"/>
    <cellStyle name="Normal 2 10 2" xfId="344" xr:uid="{0CB2788C-9248-463C-B3CD-A7E61CEF2DBF}"/>
    <cellStyle name="Normal 2 10 2 2" xfId="714" xr:uid="{1805D486-3D53-4E70-B287-C71DB1F7CA38}"/>
    <cellStyle name="Normal 2 10 3" xfId="538" xr:uid="{953F0570-DFC7-4998-8B38-F9ED0839F629}"/>
    <cellStyle name="Normal 2 11" xfId="56" xr:uid="{A9A38AA8-341F-4F14-A8B9-3BAB7FB41998}"/>
    <cellStyle name="Normal 2 11 2" xfId="345" xr:uid="{C1E4F183-4A05-44DD-B976-C778D58F2FB2}"/>
    <cellStyle name="Normal 2 11 2 2" xfId="715" xr:uid="{E0065B4F-D8B5-4173-8AAB-EB8A013FBEE8}"/>
    <cellStyle name="Normal 2 11 3" xfId="539" xr:uid="{BC200732-8FF5-4346-8AB2-D87D8665AD05}"/>
    <cellStyle name="Normal 2 12" xfId="282" xr:uid="{D9B55B99-03C3-45BF-A872-AE939BBFB62B}"/>
    <cellStyle name="Normal 2 13" xfId="283" xr:uid="{26ABE9C3-0F16-4414-B03A-FFD2830EB94E}"/>
    <cellStyle name="Normal 2 14" xfId="284" xr:uid="{C142860C-306C-4588-A7E9-F2DBF3EE2E37}"/>
    <cellStyle name="Normal 2 15" xfId="285" xr:uid="{52D6510B-52E5-4787-871A-6DFD2F536498}"/>
    <cellStyle name="Normal 2 16" xfId="286" xr:uid="{01860A57-1504-458F-8CE1-1AE797F999B9}"/>
    <cellStyle name="Normal 2 17" xfId="287" xr:uid="{A4A0D20D-9807-4CAB-A6D5-EDD32925AE95}"/>
    <cellStyle name="Normal 2 18" xfId="288" xr:uid="{0F63317F-6584-4B42-A37E-605E9ED39D2A}"/>
    <cellStyle name="Normal 2 19" xfId="289" xr:uid="{B83EEEF6-E30E-479B-88D7-61C5FCB0B15C}"/>
    <cellStyle name="Normal 2 2" xfId="5" xr:uid="{AC042DBD-4172-467A-898E-7D01DFAC1591}"/>
    <cellStyle name="Normal 2 2 10" xfId="346" xr:uid="{624D1A13-7923-44D8-9A8C-E4F85DB97780}"/>
    <cellStyle name="Normal 2 2 10 2" xfId="716" xr:uid="{24245936-D855-4489-B345-5FCF52B301B6}"/>
    <cellStyle name="Normal 2 2 2" xfId="57" xr:uid="{E472DFF4-8FC7-42DA-973F-6C0A38265032}"/>
    <cellStyle name="Normal 2 2 2 2" xfId="58" xr:uid="{3F61E73E-8016-4E3E-936D-29A9703CFB0C}"/>
    <cellStyle name="Normal 2 2 2 2 2" xfId="347" xr:uid="{FA9BADF8-8E7E-4466-83DC-5E476D30D2B6}"/>
    <cellStyle name="Normal 2 2 2 2 2 2" xfId="717" xr:uid="{EE901590-9BDF-4AD2-9F86-2CDB0CE11592}"/>
    <cellStyle name="Normal 2 2 2 2 3" xfId="541" xr:uid="{2CAC7990-CEE2-4B89-83A1-3A23FAE81227}"/>
    <cellStyle name="Normal 2 2 2 3" xfId="59" xr:uid="{374D2A71-78C2-46A9-9262-E17CDD41D8F7}"/>
    <cellStyle name="Normal 2 2 2 3 2" xfId="348" xr:uid="{DDB9EBBB-77C0-4486-AEC7-215BF7A1D3C5}"/>
    <cellStyle name="Normal 2 2 2 3 2 2" xfId="718" xr:uid="{2B14BDC3-C4D1-4DD3-BA65-DCCB07AA6153}"/>
    <cellStyle name="Normal 2 2 2 3 3" xfId="542" xr:uid="{9779598E-FD2A-4206-815B-93D839318104}"/>
    <cellStyle name="Normal 2 2 2 4" xfId="349" xr:uid="{46A839FC-D987-4364-9A3C-0C382049DCD5}"/>
    <cellStyle name="Normal 2 2 2 4 2" xfId="719" xr:uid="{5699C25D-8BD7-421D-8009-8F95757EE34A}"/>
    <cellStyle name="Normal 2 2 2 5" xfId="540" xr:uid="{768B899A-E724-4AA1-8AFB-2C9D863D8A64}"/>
    <cellStyle name="Normal 2 2 3" xfId="60" xr:uid="{AA5657D4-7837-46FF-9D43-51A526347BC1}"/>
    <cellStyle name="Normal 2 2 3 2" xfId="61" xr:uid="{4B5B0C15-AE19-46D7-853E-CEC909D7EB0E}"/>
    <cellStyle name="Normal 2 2 3 2 2" xfId="350" xr:uid="{25CE3B2A-4486-4483-A6D8-1CB25546D8D4}"/>
    <cellStyle name="Normal 2 2 3 2 2 2" xfId="720" xr:uid="{783AA218-9120-4056-9B08-2D0AB84EB036}"/>
    <cellStyle name="Normal 2 2 3 2 3" xfId="544" xr:uid="{03EFC292-23E7-4EE6-9875-E9D5803AFBC4}"/>
    <cellStyle name="Normal 2 2 3 3" xfId="351" xr:uid="{32F643FA-9AC3-47C4-B6CC-74BFB1B1762D}"/>
    <cellStyle name="Normal 2 2 3 3 2" xfId="721" xr:uid="{18D307D2-5289-4800-806A-48EB21527C1C}"/>
    <cellStyle name="Normal 2 2 3 4" xfId="543" xr:uid="{10564E67-5B02-4795-AE49-C775C6D4845E}"/>
    <cellStyle name="Normal 2 2 4" xfId="62" xr:uid="{ED995FA8-1CDE-457C-95B2-F1DB0EBDF0A0}"/>
    <cellStyle name="Normal 2 2 4 2" xfId="63" xr:uid="{C0BA3F48-A23D-4856-B012-8A27D3E0C8A6}"/>
    <cellStyle name="Normal 2 2 4 2 2" xfId="352" xr:uid="{C1035BBA-2294-4E3C-B8AB-76EABB18758E}"/>
    <cellStyle name="Normal 2 2 4 2 2 2" xfId="722" xr:uid="{1E8CB2FC-B894-44C6-A094-8A409E506B7D}"/>
    <cellStyle name="Normal 2 2 4 2 3" xfId="546" xr:uid="{05D272B5-9FCA-4F65-80B1-59F708132E37}"/>
    <cellStyle name="Normal 2 2 4 3" xfId="353" xr:uid="{3EFC0E0D-A0E0-4E6D-9BFE-D06374A35610}"/>
    <cellStyle name="Normal 2 2 4 3 2" xfId="723" xr:uid="{78FC96EA-E871-4343-A759-D4132A669634}"/>
    <cellStyle name="Normal 2 2 4 4" xfId="545" xr:uid="{6AFFCA7F-86F6-40A9-9126-9D04E7CD8C7C}"/>
    <cellStyle name="Normal 2 2 5" xfId="64" xr:uid="{D453FD6C-4A66-46A8-BABC-940AB968D646}"/>
    <cellStyle name="Normal 2 2 5 2" xfId="65" xr:uid="{D6196CA5-F2C2-4DA3-A383-25DA71A33AA6}"/>
    <cellStyle name="Normal 2 2 5 2 2" xfId="354" xr:uid="{EEEC51C2-4A9C-4C40-A433-5316E6B5B99C}"/>
    <cellStyle name="Normal 2 2 5 2 2 2" xfId="724" xr:uid="{DAEA6544-EC8E-434F-BDD7-392FD37B4E4E}"/>
    <cellStyle name="Normal 2 2 5 2 3" xfId="548" xr:uid="{C6380CD8-AE70-41D9-82ED-DD52BCCC3044}"/>
    <cellStyle name="Normal 2 2 5 3" xfId="355" xr:uid="{0FC4B5F5-7077-49E3-924F-C9BDD7A7FBEF}"/>
    <cellStyle name="Normal 2 2 5 3 2" xfId="725" xr:uid="{43148CD7-8755-41E3-A264-72BC21BE5AE0}"/>
    <cellStyle name="Normal 2 2 5 4" xfId="547" xr:uid="{6495B2F2-DF2D-4975-AE9B-E881871F9C8E}"/>
    <cellStyle name="Normal 2 2 6" xfId="66" xr:uid="{39102CCB-D125-4251-A537-F216958E5F63}"/>
    <cellStyle name="Normal 2 2 6 2" xfId="356" xr:uid="{203F7208-F524-403E-A7D8-06B615B5AC31}"/>
    <cellStyle name="Normal 2 2 6 2 2" xfId="726" xr:uid="{D379117C-3AAC-44FA-9780-F289861928B8}"/>
    <cellStyle name="Normal 2 2 6 3" xfId="549" xr:uid="{321B99DF-AD09-4C15-9D5D-4DE5CDD4F7CF}"/>
    <cellStyle name="Normal 2 2 7" xfId="67" xr:uid="{6FF77F27-6A39-4DA1-956C-70092B0ED818}"/>
    <cellStyle name="Normal 2 2 7 2" xfId="357" xr:uid="{E0645F02-48CA-499F-BB53-910B6815459B}"/>
    <cellStyle name="Normal 2 2 7 2 2" xfId="727" xr:uid="{9D7A044F-5D9C-4C8E-9454-DE25E7C0FEE0}"/>
    <cellStyle name="Normal 2 2 7 3" xfId="550" xr:uid="{28980F3E-C898-46A7-8D23-8CC7849DA9A3}"/>
    <cellStyle name="Normal 2 2 8" xfId="68" xr:uid="{F8056233-25CB-4AA8-B6C8-EF545CC114FF}"/>
    <cellStyle name="Normal 2 2 8 2" xfId="358" xr:uid="{6237DB52-B9B0-4A34-9359-3C7AC18B41CF}"/>
    <cellStyle name="Normal 2 2 8 2 2" xfId="728" xr:uid="{4D609091-A82A-4E5B-8293-1DBD18FDE931}"/>
    <cellStyle name="Normal 2 2 8 3" xfId="551" xr:uid="{BD122894-89FE-48BB-A122-3DA87E255702}"/>
    <cellStyle name="Normal 2 2 9" xfId="359" xr:uid="{BD37E479-F30E-4E9E-98A2-2F65942D99FF}"/>
    <cellStyle name="Normal 2 20" xfId="290" xr:uid="{A9AECEA6-4044-48A0-A1C9-96E1C526CCF8}"/>
    <cellStyle name="Normal 2 21" xfId="291" xr:uid="{6AD9A3D9-91B8-4A05-946D-BE5A28101F8D}"/>
    <cellStyle name="Normal 2 22" xfId="292" xr:uid="{1634041A-8B65-4F82-8B2F-EE5FB17AE0B7}"/>
    <cellStyle name="Normal 2 23" xfId="293" xr:uid="{A125FA07-7809-4487-8942-9E78F74336CD}"/>
    <cellStyle name="Normal 2 24" xfId="342" xr:uid="{50728900-E126-42C5-B90C-4568EFA36E0A}"/>
    <cellStyle name="Normal 2 25" xfId="529" xr:uid="{FE6679B1-4EBB-4FA0-B7A2-72AC9B8C878C}"/>
    <cellStyle name="Normal 2 26" xfId="17" xr:uid="{E4C2EFEE-2D5B-4EC8-A154-A6D40E879966}"/>
    <cellStyle name="Normal 2 3" xfId="6" xr:uid="{2E7DBAFA-8D33-44B5-A57C-0C3E1D4F5D27}"/>
    <cellStyle name="Normal 2 3 11" xfId="8" xr:uid="{B5EDD3CE-2DA9-472F-B5C2-586713EF82C4}"/>
    <cellStyle name="Normal 2 3 2" xfId="16" xr:uid="{FCD95765-A159-4EA7-8CF5-70F1D1E0E010}"/>
    <cellStyle name="Normal 2 3 2 2" xfId="69" xr:uid="{AC994236-0A6B-4B13-9A5C-3B7EE077B92F}"/>
    <cellStyle name="Normal 2 3 2 2 2" xfId="360" xr:uid="{EEF9A1DD-FEB4-4982-9FE2-36EE23A27055}"/>
    <cellStyle name="Normal 2 3 2 2 2 2" xfId="729" xr:uid="{B673C647-F436-4948-97AE-F1C028652BB5}"/>
    <cellStyle name="Normal 2 3 2 2 3" xfId="552" xr:uid="{D3508E95-9CC6-4DCA-A2A4-0AD7E048D595}"/>
    <cellStyle name="Normal 2 3 2 3" xfId="70" xr:uid="{67910213-722D-49A7-BD9F-F1C82786941B}"/>
    <cellStyle name="Normal 2 3 2 3 2" xfId="361" xr:uid="{5DBE5A05-23E5-437B-8E7B-BD7C4AECBA18}"/>
    <cellStyle name="Normal 2 3 2 3 2 2" xfId="730" xr:uid="{D629620C-3C04-48C5-BF11-89785939D7F1}"/>
    <cellStyle name="Normal 2 3 2 3 3" xfId="553" xr:uid="{B44E0726-3E4A-4160-912A-83BC51A64639}"/>
    <cellStyle name="Normal 2 3 2 4" xfId="362" xr:uid="{7D0F4165-E562-455D-A1DD-D63D39EEE1E7}"/>
    <cellStyle name="Normal 2 3 2 5" xfId="37" xr:uid="{1B4DC6FB-FFB5-40F4-99EB-3082F7BDD020}"/>
    <cellStyle name="Normal 2 3 3" xfId="71" xr:uid="{FF7939CC-EC0A-477C-985A-F4E0AC821686}"/>
    <cellStyle name="Normal 2 3 4" xfId="72" xr:uid="{80ED8A91-4705-4DB1-8E32-689EC53A4932}"/>
    <cellStyle name="Normal 2 3 4 2" xfId="363" xr:uid="{C3C55E77-D724-4A43-9056-8D512F340113}"/>
    <cellStyle name="Normal 2 3 4 2 2" xfId="731" xr:uid="{F39184E2-13DE-4293-A08A-2A7272EE67A8}"/>
    <cellStyle name="Normal 2 3 4 3" xfId="554" xr:uid="{6EE5493E-BEEF-48D3-AF4B-B8B2A95D109E}"/>
    <cellStyle name="Normal 2 3 5" xfId="73" xr:uid="{165F66B7-4FB3-44EC-BB2B-E0AD8109124B}"/>
    <cellStyle name="Normal 2 3 5 2" xfId="364" xr:uid="{1EB31F9A-5B81-47E8-A70F-BC35023FDC66}"/>
    <cellStyle name="Normal 2 3 5 2 2" xfId="732" xr:uid="{30D75834-E36F-4EAD-9554-670319F4D5EE}"/>
    <cellStyle name="Normal 2 3 5 3" xfId="555" xr:uid="{9FF92A1B-1B8B-47BD-BC6B-D151F461D124}"/>
    <cellStyle name="Normal 2 3 6" xfId="365" xr:uid="{5C2E43EB-F107-496E-856D-EFC55495A55C}"/>
    <cellStyle name="Normal 2 3 6 2" xfId="733" xr:uid="{8954FF61-435C-4AE4-A649-4E6E7A3960AE}"/>
    <cellStyle name="Normal 2 3 7" xfId="44" xr:uid="{E568A5D5-6CBA-4E8C-9DC9-E5CD1CA88EFA}"/>
    <cellStyle name="Normal 2 3 8" xfId="36" xr:uid="{6415F896-4EE5-44A8-AB32-65A5E401C0AD}"/>
    <cellStyle name="Normal 2 4" xfId="14" xr:uid="{D72BDBC0-968E-452A-81FF-DDC97DD583CC}"/>
    <cellStyle name="Normal 2 4 2" xfId="75" xr:uid="{5EC83BB3-F0C1-443B-B059-9E43DA68A079}"/>
    <cellStyle name="Normal 2 4 2 2" xfId="366" xr:uid="{8ADA6189-5BD3-4581-8BFE-521CD7A71C04}"/>
    <cellStyle name="Normal 2 4 2 2 2" xfId="734" xr:uid="{79119056-B3A9-45F9-AEC9-B5FA92EE5674}"/>
    <cellStyle name="Normal 2 4 2 3" xfId="556" xr:uid="{AEA1530B-AF87-406B-A173-91BF3E7A65DD}"/>
    <cellStyle name="Normal 2 4 3" xfId="74" xr:uid="{36A42024-E81B-43D0-BC34-6351ACE1827C}"/>
    <cellStyle name="Normal 2 4 3 2" xfId="891" xr:uid="{A16F164E-9E8C-4931-8B89-231334782BDE}"/>
    <cellStyle name="Normal 2 5" xfId="26" xr:uid="{4EB6F136-257C-41F4-AFDE-F3E2FC78CE50}"/>
    <cellStyle name="Normal 2 5 2" xfId="76" xr:uid="{F43893BE-93A4-4B75-94EB-174FF9677D6D}"/>
    <cellStyle name="Normal 2 5 2 2" xfId="367" xr:uid="{78C416D6-5E6A-4701-B47F-75BDA955FFDC}"/>
    <cellStyle name="Normal 2 5 2 2 2" xfId="735" xr:uid="{B772639D-ABD6-49F8-AC7D-8CAE2A23BFBD}"/>
    <cellStyle name="Normal 2 5 2 3" xfId="558" xr:uid="{F855A825-19BE-49D7-8083-346AA7D70F31}"/>
    <cellStyle name="Normal 2 5 3" xfId="368" xr:uid="{28AEB60D-D36A-4DF8-BE98-01E9B1D04B51}"/>
    <cellStyle name="Normal 2 5 3 2" xfId="736" xr:uid="{876186AE-A4EA-4691-AE42-94E37297BB09}"/>
    <cellStyle name="Normal 2 5 4" xfId="557" xr:uid="{62D1990A-8322-45A3-8267-E8402739002A}"/>
    <cellStyle name="Normal 2 6" xfId="23" xr:uid="{6C068B73-08BA-4AA4-A992-792F2FEEFBA4}"/>
    <cellStyle name="Normal 2 6 2" xfId="78" xr:uid="{982AEDE1-2E68-458A-A919-F4435CC3A48C}"/>
    <cellStyle name="Normal 2 6 2 2" xfId="369" xr:uid="{83A8922B-9C03-4328-8474-0F16AF659029}"/>
    <cellStyle name="Normal 2 6 2 2 2" xfId="737" xr:uid="{4B60B08A-731C-4B5D-8E0F-A236FAA45FEA}"/>
    <cellStyle name="Normal 2 6 2 3" xfId="560" xr:uid="{69C0EA7D-C06A-4155-B729-7FA9E030B8B3}"/>
    <cellStyle name="Normal 2 6 3" xfId="370" xr:uid="{A3300905-85B8-4D27-A5FF-7C7181B9A79F}"/>
    <cellStyle name="Normal 2 6 3 2" xfId="738" xr:uid="{D2146B17-BE92-45DC-9859-A8A232C8248C}"/>
    <cellStyle name="Normal 2 6 4" xfId="77" xr:uid="{7C614D87-8616-4876-B3EA-3AD0B5669BB6}"/>
    <cellStyle name="Normal 2 6 5" xfId="559" xr:uid="{22FB1C20-5672-4EF8-9C8F-837F557EE1AC}"/>
    <cellStyle name="Normal 2 7" xfId="79" xr:uid="{872D7F78-9D86-4AD6-8C1D-C7C93F9BD14D}"/>
    <cellStyle name="Normal 2 7 2" xfId="80" xr:uid="{C30A4CC9-338E-47CD-8693-E8E08B10D60F}"/>
    <cellStyle name="Normal 2 7 2 2" xfId="371" xr:uid="{D098BDD8-F270-495B-B6E3-561A5DE6E94C}"/>
    <cellStyle name="Normal 2 7 2 2 2" xfId="739" xr:uid="{2D308644-B9AC-43A9-BDA1-B3B3D6E3A110}"/>
    <cellStyle name="Normal 2 7 2 3" xfId="562" xr:uid="{F81F8853-6794-452D-ADEA-7007EB93421C}"/>
    <cellStyle name="Normal 2 7 3" xfId="372" xr:uid="{B505D98A-25D5-47EC-A839-B5672F4E7F47}"/>
    <cellStyle name="Normal 2 7 3 2" xfId="740" xr:uid="{35F9595E-072D-4982-8986-8D96DF41CC2C}"/>
    <cellStyle name="Normal 2 7 4" xfId="561" xr:uid="{E328CF0E-2DE3-4350-8C50-64283F9A5589}"/>
    <cellStyle name="Normal 2 8" xfId="81" xr:uid="{516C08A3-6352-424B-8011-BC81A69A00BC}"/>
    <cellStyle name="Normal 2 8 2" xfId="82" xr:uid="{96AAAEE4-C114-494C-8095-038C297D6E6A}"/>
    <cellStyle name="Normal 2 8 2 2" xfId="373" xr:uid="{CE2DBC6D-A030-4586-BB2A-33ADA9CF98FB}"/>
    <cellStyle name="Normal 2 8 2 2 2" xfId="741" xr:uid="{806C89A3-9AB5-4A9E-806C-1ED090D4B5D0}"/>
    <cellStyle name="Normal 2 8 2 3" xfId="564" xr:uid="{A8057C63-31E3-458F-97E7-663EBF2EB162}"/>
    <cellStyle name="Normal 2 8 3" xfId="374" xr:uid="{816A39D3-594D-416C-BD59-AE4FA3336367}"/>
    <cellStyle name="Normal 2 8 3 2" xfId="742" xr:uid="{C8024882-B64D-4FB6-BE05-CC62941C039F}"/>
    <cellStyle name="Normal 2 8 4" xfId="563" xr:uid="{91193287-8C11-4943-906F-87CF8E911C55}"/>
    <cellStyle name="Normal 2 9" xfId="83" xr:uid="{F448556F-F96F-46B5-AC4F-47945D0B05A5}"/>
    <cellStyle name="Normal 2 9 2" xfId="375" xr:uid="{4956A747-8365-4814-8D67-59161EDC5812}"/>
    <cellStyle name="Normal 2 9 2 2" xfId="743" xr:uid="{6393141F-F45C-4BE4-8B1B-56ECB7AC705E}"/>
    <cellStyle name="Normal 2 9 3" xfId="565" xr:uid="{2C6750C9-E10E-48D2-B400-BF8068FB754C}"/>
    <cellStyle name="Normal 20" xfId="38" xr:uid="{003C9796-597A-400A-BB30-822DDF464E54}"/>
    <cellStyle name="Normal 20 2" xfId="895" xr:uid="{D6C2C77F-F352-4785-BA75-803DBD9BA9A7}"/>
    <cellStyle name="Normal 21" xfId="34" xr:uid="{10ED1BB7-8CB2-4DDC-9394-5F789625B057}"/>
    <cellStyle name="Normal 21 2" xfId="894" xr:uid="{562EEC59-6B09-4DD3-98B3-C5BEFB24AD9E}"/>
    <cellStyle name="Normal 22" xfId="534" xr:uid="{6FA0B95C-0A89-426E-8DA6-3F74DCAF1844}"/>
    <cellStyle name="Normal 23" xfId="4" xr:uid="{3190C784-142A-4978-B211-67AC76877570}"/>
    <cellStyle name="Normal 3" xfId="19" xr:uid="{7BB2101F-0028-468E-959D-ECA82D6F00DC}"/>
    <cellStyle name="Normal 3 10" xfId="294" xr:uid="{93882D35-C630-4142-B41D-46E7C28FA460}"/>
    <cellStyle name="Normal 3 11" xfId="295" xr:uid="{C981255D-7BE9-4AEA-9475-B33BA93AC9DC}"/>
    <cellStyle name="Normal 3 12" xfId="296" xr:uid="{101916D7-7E85-469E-B61B-4083CF2244EA}"/>
    <cellStyle name="Normal 3 13" xfId="297" xr:uid="{771ED46C-6CAA-4948-9A85-193B3C62004C}"/>
    <cellStyle name="Normal 3 14" xfId="39" xr:uid="{DB8F3977-70ED-4896-B7C3-6F686D4682E6}"/>
    <cellStyle name="Normal 3 2" xfId="13" xr:uid="{79D040A1-A12F-40F3-AFA1-386C499340B1}"/>
    <cellStyle name="Normal 3 2 2" xfId="53" xr:uid="{A14D9640-AC1A-44C3-A48C-2CB673BEEBE9}"/>
    <cellStyle name="Normal 3 2 2 2" xfId="84" xr:uid="{4C22201F-C564-4CFD-B9E5-4C2BDF355D6E}"/>
    <cellStyle name="Normal 3 2 2 3" xfId="376" xr:uid="{CC49011E-34A9-4A4C-9F69-769C38E864D8}"/>
    <cellStyle name="Normal 3 2 2 3 2" xfId="744" xr:uid="{5730525B-D2EA-4F02-9225-AEA007CE197F}"/>
    <cellStyle name="Normal 3 2 3" xfId="85" xr:uid="{479B2241-A8C8-4771-A19D-AE03F9F95700}"/>
    <cellStyle name="Normal 3 2 3 2" xfId="377" xr:uid="{900B8C1E-DEE1-4BE2-8C30-3A53DDF01BA9}"/>
    <cellStyle name="Normal 3 2 4" xfId="86" xr:uid="{D72D3F6F-B616-4719-9FB2-69B8D55C5B8D}"/>
    <cellStyle name="Normal 3 2 5" xfId="378" xr:uid="{1F7E088A-B398-47F0-89B2-09A66EE39A7A}"/>
    <cellStyle name="Normal 3 2 6" xfId="379" xr:uid="{F0A76DCF-C244-45AD-BE6A-5E6CE1A04CE5}"/>
    <cellStyle name="Normal 3 2 6 2" xfId="745" xr:uid="{B170B7A9-1392-45A9-9B9D-CE5DCA611F23}"/>
    <cellStyle name="Normal 3 3" xfId="87" xr:uid="{1F866266-03E3-4750-A304-E936A2C68D6E}"/>
    <cellStyle name="Normal 3 3 2" xfId="88" xr:uid="{1E728755-E5BC-4C7C-B248-9C47B8344C07}"/>
    <cellStyle name="Normal 3 3 2 2" xfId="380" xr:uid="{2D25E7EC-C501-4CAB-BD5F-050559FF4C60}"/>
    <cellStyle name="Normal 3 3 2 2 2" xfId="746" xr:uid="{C4626CAA-C320-4467-9613-FD5E520FC339}"/>
    <cellStyle name="Normal 3 3 2 3" xfId="567" xr:uid="{AF3B51F5-E260-497D-9182-39990A63946D}"/>
    <cellStyle name="Normal 3 3 3" xfId="89" xr:uid="{E5AAAE8E-BCB6-48D0-820C-306C4F6D8A0D}"/>
    <cellStyle name="Normal 3 3 3 2" xfId="381" xr:uid="{CDC60DDF-DA27-47C1-A703-2D541F85A3F1}"/>
    <cellStyle name="Normal 3 3 3 2 2" xfId="747" xr:uid="{F82F4DC2-9582-4D47-ACAF-26D68027E34B}"/>
    <cellStyle name="Normal 3 3 3 3" xfId="568" xr:uid="{2BC7A90D-CCA9-477F-A0C3-E660E1D71253}"/>
    <cellStyle name="Normal 3 3 4" xfId="382" xr:uid="{93430370-75A1-4544-95B1-1048ECB84833}"/>
    <cellStyle name="Normal 3 3 4 2" xfId="748" xr:uid="{B75B75B6-6137-4306-9D93-9CF463A4F66E}"/>
    <cellStyle name="Normal 3 3 5" xfId="566" xr:uid="{EF8440EF-D712-4250-BC68-3C2127D7395A}"/>
    <cellStyle name="Normal 3 4" xfId="90" xr:uid="{880150EC-4D13-45E0-87ED-B5FDFA94013D}"/>
    <cellStyle name="Normal 3 4 2" xfId="91" xr:uid="{662DF4C9-66B7-4DA8-9B07-DEBFECCD8339}"/>
    <cellStyle name="Normal 3 4 2 2" xfId="383" xr:uid="{FDB3D666-7A19-4F89-B693-54BD3AEAB06E}"/>
    <cellStyle name="Normal 3 4 2 2 2" xfId="749" xr:uid="{C2476259-9110-4140-96BC-8DD90D43893F}"/>
    <cellStyle name="Normal 3 4 2 3" xfId="570" xr:uid="{6D1B151B-E6C5-465A-B53C-8CCF5EF6E289}"/>
    <cellStyle name="Normal 3 4 3" xfId="384" xr:uid="{5259CCBA-34F0-4D97-8B4F-57381FF6D6C3}"/>
    <cellStyle name="Normal 3 4 3 2" xfId="750" xr:uid="{6A23DD1C-501D-4A65-9D52-7C1CB77D4DAB}"/>
    <cellStyle name="Normal 3 4 4" xfId="569" xr:uid="{B40A56E9-EF6A-43B2-B852-FFBA06D4AC11}"/>
    <cellStyle name="Normal 3 5" xfId="92" xr:uid="{915D12B0-7FA7-429B-A478-8B8E7D1D65BE}"/>
    <cellStyle name="Normal 3 5 2" xfId="93" xr:uid="{48D4E5E1-4CDF-4C8A-9E34-BB139254A81B}"/>
    <cellStyle name="Normal 3 5 2 2" xfId="385" xr:uid="{2B70FC85-8A7F-4D1A-9AC1-1529DEA8EA3D}"/>
    <cellStyle name="Normal 3 5 2 2 2" xfId="751" xr:uid="{2C9768BD-8CA0-4608-AC37-B9D8D9FE0796}"/>
    <cellStyle name="Normal 3 5 2 3" xfId="572" xr:uid="{0F55FD02-2EFE-4BD3-99F7-260D0379D0DB}"/>
    <cellStyle name="Normal 3 5 3" xfId="386" xr:uid="{453A85C1-67C9-451B-A453-87D7D7B06516}"/>
    <cellStyle name="Normal 3 5 3 2" xfId="752" xr:uid="{729C37FA-6826-418A-B843-71F07189406D}"/>
    <cellStyle name="Normal 3 5 4" xfId="571" xr:uid="{AE4D936B-85F1-4A2D-A131-145749D52240}"/>
    <cellStyle name="Normal 3 6" xfId="94" xr:uid="{4C7CBF70-7760-429C-AE83-19CBD7659A93}"/>
    <cellStyle name="Normal 3 6 2" xfId="95" xr:uid="{13491603-D554-4AD7-80F2-D2F60D8C42A3}"/>
    <cellStyle name="Normal 3 6 2 2" xfId="387" xr:uid="{373DBACD-62C4-4F54-82F3-2DEF96DD67B5}"/>
    <cellStyle name="Normal 3 6 2 2 2" xfId="753" xr:uid="{537C1960-E261-45E3-9067-725D0D6BEF71}"/>
    <cellStyle name="Normal 3 6 2 3" xfId="574" xr:uid="{7CF8E53F-E17F-4AA2-A052-299755294D99}"/>
    <cellStyle name="Normal 3 6 3" xfId="388" xr:uid="{C249A5E4-F139-4477-AAF8-6F7677B8C79F}"/>
    <cellStyle name="Normal 3 6 3 2" xfId="754" xr:uid="{A691D6A2-2B7C-4887-BC58-353663D741A4}"/>
    <cellStyle name="Normal 3 6 4" xfId="573" xr:uid="{5CA9EC5D-C280-4CB2-A2CD-64261FFC7E00}"/>
    <cellStyle name="Normal 3 7" xfId="96" xr:uid="{61BB13D9-10AC-4A34-9280-EEEB71784799}"/>
    <cellStyle name="Normal 3 7 2" xfId="389" xr:uid="{688E2784-D876-4EC0-B8EE-729ADD207753}"/>
    <cellStyle name="Normal 3 7 2 2" xfId="755" xr:uid="{B9101AF9-087B-40D3-AE38-D5957B942368}"/>
    <cellStyle name="Normal 3 7 3" xfId="575" xr:uid="{317E017D-F2E3-4293-8A11-99126D4E02D8}"/>
    <cellStyle name="Normal 3 8" xfId="97" xr:uid="{80B71FD5-E392-4F19-8C1A-AABD9BDDF9DC}"/>
    <cellStyle name="Normal 3 8 2" xfId="390" xr:uid="{0C19E369-B58F-40AC-9A3E-69E9A696BAEC}"/>
    <cellStyle name="Normal 3 8 2 2" xfId="756" xr:uid="{05FB73B2-764E-46C4-BB22-94CB92425AD5}"/>
    <cellStyle name="Normal 3 8 3" xfId="576" xr:uid="{0E5AF076-4EBB-4CFF-9DFD-B116BBE73760}"/>
    <cellStyle name="Normal 3 9" xfId="98" xr:uid="{179702EB-6D81-4208-BD59-4B5AC19921EC}"/>
    <cellStyle name="Normal 3 9 2" xfId="391" xr:uid="{B8936B1C-5B5B-463E-A816-C0C3F3AF36D6}"/>
    <cellStyle name="Normal 3 9 2 2" xfId="757" xr:uid="{FD472BC9-2D03-48C9-8AFB-42AE0F792153}"/>
    <cellStyle name="Normal 3 9 3" xfId="577" xr:uid="{9F03A065-08BD-4466-8467-C4793A8C1D11}"/>
    <cellStyle name="Normal 4" xfId="12" xr:uid="{DFE93E74-F212-453D-9BC3-B3288940727C}"/>
    <cellStyle name="Normal 4 10" xfId="99" xr:uid="{BC03E540-F56A-4296-9E29-2934A637D5C3}"/>
    <cellStyle name="Normal 4 10 2" xfId="392" xr:uid="{6230B081-C472-4A7B-8DB4-6BFEBEAF7CE4}"/>
    <cellStyle name="Normal 4 10 2 2" xfId="393" xr:uid="{4B9D3F03-1B76-476B-8143-2360D2E9BF9C}"/>
    <cellStyle name="Normal 4 10 2 2 2" xfId="759" xr:uid="{45F45DAF-5531-4B57-9F5D-3047DC9AF1F6}"/>
    <cellStyle name="Normal 4 10 2 3" xfId="758" xr:uid="{A7E02474-8258-4C92-9DF5-C3FFD2FF94A3}"/>
    <cellStyle name="Normal 4 10 3" xfId="394" xr:uid="{3C227451-45CD-4608-A947-FF59F8CE40FE}"/>
    <cellStyle name="Normal 4 10 3 2" xfId="760" xr:uid="{3A5ABCC7-91ED-4AA0-998F-FCDCE2034977}"/>
    <cellStyle name="Normal 4 10 4" xfId="578" xr:uid="{522F3194-A3DA-4736-8BFD-DCD7FC64AEC1}"/>
    <cellStyle name="Normal 4 11" xfId="298" xr:uid="{0E58E3E1-5085-447A-9AD1-59DC7C0A7149}"/>
    <cellStyle name="Normal 4 11 2" xfId="526" xr:uid="{CBCD789C-76BC-40C3-B244-CE9D19273D5F}"/>
    <cellStyle name="Normal 4 12" xfId="299" xr:uid="{F1442EF9-EC56-443E-B45B-456CB012FC02}"/>
    <cellStyle name="Normal 4 13" xfId="300" xr:uid="{147A8189-70D9-4D0C-98DD-215E1380E05B}"/>
    <cellStyle name="Normal 4 14" xfId="41" xr:uid="{F59A16B8-F384-44B8-998C-C18936BA523E}"/>
    <cellStyle name="Normal 4 2" xfId="28" xr:uid="{623BAB2D-DC63-48BA-8EAC-16F51DE6878A}"/>
    <cellStyle name="Normal 4 2 2" xfId="100" xr:uid="{69C717B6-7778-4B28-92EA-985096BEAE3E}"/>
    <cellStyle name="Normal 4 2 2 2" xfId="101" xr:uid="{094B8170-B8B2-46E9-8E2F-56D425473B1F}"/>
    <cellStyle name="Normal 4 2 2 2 2" xfId="395" xr:uid="{778D7881-8B17-4950-BD75-31FDEF4BDBA5}"/>
    <cellStyle name="Normal 4 2 2 2 2 2" xfId="761" xr:uid="{AA3807EA-E754-47A9-BE18-6089E77EC864}"/>
    <cellStyle name="Normal 4 2 2 2 3" xfId="581" xr:uid="{496E1A42-8363-4FA7-AFE6-135E79BCCA6B}"/>
    <cellStyle name="Normal 4 2 2 3" xfId="396" xr:uid="{7A51E52A-FD85-45C9-BF65-9FC0C22B207F}"/>
    <cellStyle name="Normal 4 2 2 3 2" xfId="762" xr:uid="{BC475CE6-F0C9-4D1B-8635-CF2C0E754049}"/>
    <cellStyle name="Normal 4 2 2 4" xfId="580" xr:uid="{C0C42212-021B-4F2F-8CCD-D6B61E740CB7}"/>
    <cellStyle name="Normal 4 2 3" xfId="102" xr:uid="{569A9D2D-1D19-44A1-A3AC-654828C1FDE1}"/>
    <cellStyle name="Normal 4 2 3 2" xfId="397" xr:uid="{70A283DA-1959-4984-9A12-1FD5E759E141}"/>
    <cellStyle name="Normal 4 2 3 2 2" xfId="763" xr:uid="{50129F92-00A1-4327-93B4-FE0A692DDF7C}"/>
    <cellStyle name="Normal 4 2 3 3" xfId="582" xr:uid="{DF7A8D5D-245D-4D6D-AABE-9CAAB4FF1E0C}"/>
    <cellStyle name="Normal 4 2 4" xfId="103" xr:uid="{4F2A0D99-B092-4EE6-9934-B5D3A9004F41}"/>
    <cellStyle name="Normal 4 2 4 2" xfId="398" xr:uid="{CDF7CD38-4979-4A78-BD5D-51F015974761}"/>
    <cellStyle name="Normal 4 2 4 2 2" xfId="764" xr:uid="{B30FB922-8677-44D7-92C2-8E0CC7BFEBC9}"/>
    <cellStyle name="Normal 4 2 4 3" xfId="583" xr:uid="{1655CADD-BD1C-4C5D-8558-BDB8BE472B0C}"/>
    <cellStyle name="Normal 4 2 5" xfId="104" xr:uid="{5BC5C985-DE2D-4CD5-9CFD-623A04B94FB2}"/>
    <cellStyle name="Normal 4 2 5 2" xfId="399" xr:uid="{7BCF39AF-CA2A-497E-95A1-D0383D594D75}"/>
    <cellStyle name="Normal 4 2 5 2 2" xfId="765" xr:uid="{D05202D8-247C-47A0-B4DB-A176829DA3DD}"/>
    <cellStyle name="Normal 4 2 5 3" xfId="584" xr:uid="{E7058911-F9F1-4BE6-B469-69420543E52D}"/>
    <cellStyle name="Normal 4 2 6" xfId="400" xr:uid="{C4343B2D-8FCD-4975-A27E-98C1F7AA5015}"/>
    <cellStyle name="Normal 4 2 6 2" xfId="766" xr:uid="{315564FF-FCA8-4114-B1B3-71194D51CCA4}"/>
    <cellStyle name="Normal 4 2 7" xfId="401" xr:uid="{342A6A83-1753-448D-A13C-F269B15048A0}"/>
    <cellStyle name="Normal 4 2 7 2" xfId="767" xr:uid="{EA2310D3-43C3-47D8-AFC2-596F6CAF3C1C}"/>
    <cellStyle name="Normal 4 2 8" xfId="579" xr:uid="{BA17D63F-F9BA-444A-A63A-10EC068D6BEE}"/>
    <cellStyle name="Normal 4 3" xfId="105" xr:uid="{3D80F1C5-E3FE-4122-9A21-93EC7F800A7B}"/>
    <cellStyle name="Normal 4 3 2" xfId="106" xr:uid="{691BC130-CC58-4C27-8C8D-433A327D60B9}"/>
    <cellStyle name="Normal 4 3 2 2" xfId="402" xr:uid="{60A34BE9-1929-45B3-8C37-D66E66A26738}"/>
    <cellStyle name="Normal 4 3 2 2 2" xfId="768" xr:uid="{5D7A13DE-6DF7-4A4F-B570-96D5F04A550D}"/>
    <cellStyle name="Normal 4 3 2 3" xfId="586" xr:uid="{70AAFFD0-2A98-47D2-AD06-C850310C64C5}"/>
    <cellStyle name="Normal 4 3 3" xfId="107" xr:uid="{76CDAFC6-7C9A-41B7-ACA1-2C695A2A7FE1}"/>
    <cellStyle name="Normal 4 3 3 2" xfId="403" xr:uid="{D27A4D04-94FB-4698-85E2-D014BB53135B}"/>
    <cellStyle name="Normal 4 3 3 2 2" xfId="769" xr:uid="{D1F1BB72-2825-46CA-9FD8-5CA10DDE81DC}"/>
    <cellStyle name="Normal 4 3 3 3" xfId="587" xr:uid="{6E41C487-AC1B-4E0B-A016-9803E1EEE65B}"/>
    <cellStyle name="Normal 4 3 4" xfId="108" xr:uid="{A3171F12-027E-408A-B6A1-8ACFD6FACD4A}"/>
    <cellStyle name="Normal 4 3 4 2" xfId="404" xr:uid="{81A5C5C0-23CC-4852-BFBE-B7A66EEB1505}"/>
    <cellStyle name="Normal 4 3 4 2 2" xfId="770" xr:uid="{DA1507C3-53E8-44F9-AF91-81C718BF3D6E}"/>
    <cellStyle name="Normal 4 3 4 3" xfId="588" xr:uid="{72C93268-B82E-49C0-94E8-A0F399E0D42C}"/>
    <cellStyle name="Normal 4 3 5" xfId="405" xr:uid="{9DF85D81-AE79-4A5D-AAB6-01E3D520532C}"/>
    <cellStyle name="Normal 4 3 5 2" xfId="771" xr:uid="{81760C1A-4DFA-4F13-AF61-AAE6CE4C1B6E}"/>
    <cellStyle name="Normal 4 3 6" xfId="585" xr:uid="{F4E77D6D-305E-4BB5-99C9-E0216CF32176}"/>
    <cellStyle name="Normal 4 4" xfId="109" xr:uid="{CDB517BE-165F-4DCE-AF5F-6F2EEA4FCECF}"/>
    <cellStyle name="Normal 4 4 2" xfId="110" xr:uid="{F275ED26-2EBA-4ECC-8BCC-B911C67CC22A}"/>
    <cellStyle name="Normal 4 4 2 2" xfId="406" xr:uid="{8C5A7BF3-43DA-4CDA-A1D2-A47967115F48}"/>
    <cellStyle name="Normal 4 4 2 2 2" xfId="772" xr:uid="{D937409A-956D-4E79-AE86-69AFF26F1E71}"/>
    <cellStyle name="Normal 4 4 2 3" xfId="590" xr:uid="{C6824EB5-0DD2-4593-8FE5-6B035303265D}"/>
    <cellStyle name="Normal 4 4 3" xfId="407" xr:uid="{20BDE663-8F2B-43D0-AD07-1BF96B8C65F5}"/>
    <cellStyle name="Normal 4 4 3 2" xfId="773" xr:uid="{48B969D8-F1A4-485A-A21E-1B9B12588FDB}"/>
    <cellStyle name="Normal 4 4 4" xfId="589" xr:uid="{6300A72D-9F4E-4EF2-9139-6CF237DABE7B}"/>
    <cellStyle name="Normal 4 5" xfId="111" xr:uid="{1F5BE290-2699-4B67-AB33-0E58EA6EEAA6}"/>
    <cellStyle name="Normal 4 5 2" xfId="112" xr:uid="{D2CF4959-D951-49AF-9856-1DAC6862B0ED}"/>
    <cellStyle name="Normal 4 5 2 2" xfId="408" xr:uid="{C6342081-EF23-48E3-8A55-6EC56924638E}"/>
    <cellStyle name="Normal 4 5 2 2 2" xfId="774" xr:uid="{EFB87EEE-8685-42D3-B059-282875C3FB90}"/>
    <cellStyle name="Normal 4 5 2 3" xfId="592" xr:uid="{036839E5-5CEF-4161-8838-B31392DC35F6}"/>
    <cellStyle name="Normal 4 5 3" xfId="409" xr:uid="{82D98C7C-50FA-4C0C-B736-BDE59C275D26}"/>
    <cellStyle name="Normal 4 5 3 2" xfId="775" xr:uid="{951777ED-719D-4FFA-9F74-4F9E56D2F7FD}"/>
    <cellStyle name="Normal 4 5 4" xfId="591" xr:uid="{BA7239BA-4810-4CFC-81FA-C57F3C7A952F}"/>
    <cellStyle name="Normal 4 6" xfId="113" xr:uid="{75616110-A1D4-4A46-9288-2C44D9460262}"/>
    <cellStyle name="Normal 4 6 2" xfId="114" xr:uid="{634BA93E-D2E1-44AA-87F1-65A576AB5A39}"/>
    <cellStyle name="Normal 4 6 2 2" xfId="410" xr:uid="{32FA5531-3319-4AC0-91A6-827E0E07E06E}"/>
    <cellStyle name="Normal 4 6 2 2 2" xfId="776" xr:uid="{3C0EBDCE-3E65-41BD-8A5A-73C2B0EA491D}"/>
    <cellStyle name="Normal 4 6 2 3" xfId="594" xr:uid="{A8E0C56F-001D-4E74-802A-BD072B3E1C20}"/>
    <cellStyle name="Normal 4 6 3" xfId="411" xr:uid="{B5B721D3-9362-4EBD-B5B0-AC8F8640AC1E}"/>
    <cellStyle name="Normal 4 6 3 2" xfId="777" xr:uid="{D534995F-F12D-484A-865B-503E303DC395}"/>
    <cellStyle name="Normal 4 6 4" xfId="593" xr:uid="{9DF235C4-0D0E-4C68-AA31-6198AD97C9D4}"/>
    <cellStyle name="Normal 4 7" xfId="115" xr:uid="{A8FAD5E2-4590-45A7-AEF0-855B0C7C5E7B}"/>
    <cellStyle name="Normal 4 7 2" xfId="412" xr:uid="{6AAE12C0-C2D6-4626-AAA9-9BDF85B65EDD}"/>
    <cellStyle name="Normal 4 7 2 2" xfId="778" xr:uid="{571F4928-CA3E-47BA-862B-580B80776497}"/>
    <cellStyle name="Normal 4 7 3" xfId="595" xr:uid="{D65A82F3-34D7-4174-AC0E-440F5536C4DF}"/>
    <cellStyle name="Normal 4 8" xfId="116" xr:uid="{A577A99A-16AA-4986-8185-B6921B46B12D}"/>
    <cellStyle name="Normal 4 8 2" xfId="413" xr:uid="{B5970BE1-6A61-4DE2-A334-E21CD2A88DC7}"/>
    <cellStyle name="Normal 4 8 2 2" xfId="779" xr:uid="{2E64292E-F0E4-4929-BAC4-D99DA054375E}"/>
    <cellStyle name="Normal 4 8 3" xfId="596" xr:uid="{96ED5CE5-142F-4F35-BE91-6A56617026A2}"/>
    <cellStyle name="Normal 4 9" xfId="117" xr:uid="{D2B13424-FE63-40EC-852E-A5CC6ED645D0}"/>
    <cellStyle name="Normal 4 9 2" xfId="414" xr:uid="{47199D85-9E22-4A37-A7E8-AC670EE0CD68}"/>
    <cellStyle name="Normal 4 9 2 2" xfId="780" xr:uid="{6D6E63CF-8A96-4A79-9363-215B3B79DBBC}"/>
    <cellStyle name="Normal 4 9 3" xfId="597" xr:uid="{18504D3F-B2CD-4702-B0BC-629BBCB8D399}"/>
    <cellStyle name="Normal 5" xfId="7" xr:uid="{C66DA194-4EA4-4EF8-981D-93E1B2419AF9}"/>
    <cellStyle name="Normal 5 10" xfId="15" xr:uid="{755A2717-438C-4FE5-9A53-E5297D80813A}"/>
    <cellStyle name="Normal 5 10 2" xfId="527" xr:uid="{23C886C1-323B-4E91-934F-F8571604E104}"/>
    <cellStyle name="Normal 5 11" xfId="301" xr:uid="{8A969923-1270-402E-AD52-F8D98E26E62B}"/>
    <cellStyle name="Normal 5 12" xfId="302" xr:uid="{530F7121-D52F-4DD5-8EDF-D4BD73648F00}"/>
    <cellStyle name="Normal 5 13" xfId="303" xr:uid="{792BC5DB-4621-4DF2-9045-13B7483E26D7}"/>
    <cellStyle name="Normal 5 13 2" xfId="709" xr:uid="{13288CBA-A74E-41F3-A18B-C044B670384C}"/>
    <cellStyle name="Normal 5 14" xfId="42" xr:uid="{116C7EA7-229B-44F9-BC7A-3B48D86B0193}"/>
    <cellStyle name="Normal 5 2" xfId="25" xr:uid="{13E73BA7-835F-4030-B844-8A7EC4D2CA3B}"/>
    <cellStyle name="Normal 5 2 2" xfId="118" xr:uid="{64970AD5-B5D9-430B-B690-7F08AC03ADDA}"/>
    <cellStyle name="Normal 5 2 2 2" xfId="119" xr:uid="{0A351BBC-39CE-4DE6-848D-4664793B0D99}"/>
    <cellStyle name="Normal 5 2 2 2 2" xfId="415" xr:uid="{9743CF16-5002-4255-8105-037C85557C4F}"/>
    <cellStyle name="Normal 5 2 2 2 2 2" xfId="781" xr:uid="{6828762C-5DC6-42CA-B6FE-7E932B9A1CE2}"/>
    <cellStyle name="Normal 5 2 2 2 3" xfId="600" xr:uid="{94EA3FA0-C0A7-4547-B033-DA43824AAC95}"/>
    <cellStyle name="Normal 5 2 2 3" xfId="416" xr:uid="{FDE9A679-2F9F-4010-B0CC-4ED7A34B5429}"/>
    <cellStyle name="Normal 5 2 2 3 2" xfId="782" xr:uid="{DC304433-88D2-409A-ADD0-1EF2827D5A4A}"/>
    <cellStyle name="Normal 5 2 2 4" xfId="599" xr:uid="{25D734DB-1974-47EC-B915-13B195BF3EF1}"/>
    <cellStyle name="Normal 5 2 3" xfId="120" xr:uid="{DA11EEE5-3503-4134-BDA4-C023F81282DF}"/>
    <cellStyle name="Normal 5 2 3 2" xfId="417" xr:uid="{44714FC9-56AE-43AE-B1E9-A40EC7F12A94}"/>
    <cellStyle name="Normal 5 2 3 2 2" xfId="783" xr:uid="{B7B2747B-3685-4FC6-A658-807C993A7A83}"/>
    <cellStyle name="Normal 5 2 3 3" xfId="601" xr:uid="{1AB3ADB5-6717-40B4-B0F3-39DEC7C14E55}"/>
    <cellStyle name="Normal 5 2 4" xfId="121" xr:uid="{D92E7318-D6C2-4351-A6A7-26F255A54D96}"/>
    <cellStyle name="Normal 5 2 4 2" xfId="418" xr:uid="{1935ED81-952C-4405-94E9-D01173091439}"/>
    <cellStyle name="Normal 5 2 4 2 2" xfId="784" xr:uid="{DCD68BBE-383E-4520-A4F1-5BBF77169DAC}"/>
    <cellStyle name="Normal 5 2 4 3" xfId="602" xr:uid="{15159EAB-BF7D-4634-92FE-04E11181674F}"/>
    <cellStyle name="Normal 5 2 5" xfId="419" xr:uid="{D4AD3D82-34C7-4B10-BE49-1DCF2BD98632}"/>
    <cellStyle name="Normal 5 2 5 2" xfId="785" xr:uid="{96659B6F-BFC7-46C5-9478-5D531148E0AF}"/>
    <cellStyle name="Normal 5 2 6" xfId="420" xr:uid="{20A03DD1-1608-4FA0-B5FE-62A3FB6124B9}"/>
    <cellStyle name="Normal 5 2 6 2" xfId="786" xr:uid="{763CA8EF-C92F-4872-A70B-F4F0DCF1BEB5}"/>
    <cellStyle name="Normal 5 2 7" xfId="598" xr:uid="{DF00A2F6-BB33-4FCF-9F9A-61C70AB5713E}"/>
    <cellStyle name="Normal 5 3" xfId="20" xr:uid="{DE4FA7E6-24D6-413A-A2A2-9392D2B364EB}"/>
    <cellStyle name="Normal 5 3 2" xfId="122" xr:uid="{D7F022E8-354C-492C-89A8-17A7095A27EE}"/>
    <cellStyle name="Normal 5 3 2 2" xfId="421" xr:uid="{5150888D-588D-46CF-A9D3-AE8FBED8A68A}"/>
    <cellStyle name="Normal 5 3 2 2 2" xfId="787" xr:uid="{5CEE13EF-6CEA-41E1-957E-EC12047614A1}"/>
    <cellStyle name="Normal 5 3 2 3" xfId="604" xr:uid="{9911D3FB-76AD-4F37-8446-2F70019215DF}"/>
    <cellStyle name="Normal 5 3 3" xfId="123" xr:uid="{7A4CEE9E-967C-4E07-A88E-37F6C9D09197}"/>
    <cellStyle name="Normal 5 3 3 2" xfId="422" xr:uid="{40631FBE-7202-4985-A248-07CD2F002739}"/>
    <cellStyle name="Normal 5 3 3 2 2" xfId="788" xr:uid="{94087C4B-95BD-464C-8A62-E8663D9407E1}"/>
    <cellStyle name="Normal 5 3 3 3" xfId="605" xr:uid="{BD75F099-FE0B-4AA8-BC0D-ED08F3F3E476}"/>
    <cellStyle name="Normal 5 3 4" xfId="423" xr:uid="{5DD3F70C-F899-4FE3-BE01-76BD97E6F1DD}"/>
    <cellStyle name="Normal 5 3 4 2" xfId="789" xr:uid="{F53955CC-9554-4AD1-8DBB-9C0858B2F343}"/>
    <cellStyle name="Normal 5 3 5" xfId="603" xr:uid="{D9F7D0D4-7F3F-4C48-9BE5-7AECE49FE711}"/>
    <cellStyle name="Normal 5 4" xfId="124" xr:uid="{90E8A3AF-E6B8-45A7-9116-C38E8C4F78D7}"/>
    <cellStyle name="Normal 5 4 2" xfId="125" xr:uid="{70614C43-6C98-418F-A882-CC87F7F78DC6}"/>
    <cellStyle name="Normal 5 4 2 2" xfId="424" xr:uid="{A31B5A1C-E51C-4674-99BC-9C8B4052FE69}"/>
    <cellStyle name="Normal 5 4 2 2 2" xfId="790" xr:uid="{38C3E295-9222-424C-A230-8BF61411205F}"/>
    <cellStyle name="Normal 5 4 2 3" xfId="607" xr:uid="{5520892F-0257-42C6-9FE0-13AD84B69102}"/>
    <cellStyle name="Normal 5 4 3" xfId="425" xr:uid="{E41D7F57-8C9C-4F30-A198-A46F1A64D82A}"/>
    <cellStyle name="Normal 5 4 3 2" xfId="791" xr:uid="{B0E94268-DCEC-44AC-8CED-6E6B33BE45D3}"/>
    <cellStyle name="Normal 5 4 4" xfId="606" xr:uid="{671948A9-0AA3-4F30-BA59-47ED81A22C07}"/>
    <cellStyle name="Normal 5 5" xfId="126" xr:uid="{B0A686CB-80FF-4BD9-93E5-A459F09094FF}"/>
    <cellStyle name="Normal 5 5 2" xfId="127" xr:uid="{4BF72C6F-92AE-4123-B4FF-479F9342F59B}"/>
    <cellStyle name="Normal 5 5 2 2" xfId="426" xr:uid="{D1CC0380-A144-473E-8DEF-84E94AC65CA0}"/>
    <cellStyle name="Normal 5 5 2 2 2" xfId="792" xr:uid="{C1ECE529-AFC8-42A8-BFEA-82D3BB65600E}"/>
    <cellStyle name="Normal 5 5 2 3" xfId="609" xr:uid="{FEFCD2D0-937F-4C20-B868-5AD47E969B22}"/>
    <cellStyle name="Normal 5 5 3" xfId="427" xr:uid="{6BC25CD6-05E5-454C-82F8-59627B3D7FDF}"/>
    <cellStyle name="Normal 5 5 3 2" xfId="793" xr:uid="{DF1C2EF7-837B-4BA0-9DC0-ADB6363D060D}"/>
    <cellStyle name="Normal 5 5 4" xfId="608" xr:uid="{882B7745-691A-4F87-A000-7608AA4B307D}"/>
    <cellStyle name="Normal 5 6" xfId="128" xr:uid="{C8D58E60-233F-41F2-95F5-9E44E58AA967}"/>
    <cellStyle name="Normal 5 6 2" xfId="129" xr:uid="{E757F98F-87C9-44A8-9DCC-1221CAABC5F0}"/>
    <cellStyle name="Normal 5 6 2 2" xfId="428" xr:uid="{F3D808DF-10A5-43C2-BC32-42114F7AC2B4}"/>
    <cellStyle name="Normal 5 6 2 2 2" xfId="794" xr:uid="{5233AD91-8040-4C1B-B23C-BC6FFDB1B185}"/>
    <cellStyle name="Normal 5 6 2 3" xfId="611" xr:uid="{AA813DE4-0A43-4E83-80FC-45C56B3DCA6F}"/>
    <cellStyle name="Normal 5 6 3" xfId="429" xr:uid="{550C5393-85BA-4165-82CF-264200FAC9B9}"/>
    <cellStyle name="Normal 5 6 3 2" xfId="795" xr:uid="{7AB1472C-7A6B-4AF5-87CB-61D30BB3B336}"/>
    <cellStyle name="Normal 5 6 4" xfId="610" xr:uid="{4EA9CA10-1958-4ECE-A7D5-B63DF070E2DB}"/>
    <cellStyle name="Normal 5 7" xfId="130" xr:uid="{C240CDE0-B37F-4CB1-A0DC-E8B671F955B0}"/>
    <cellStyle name="Normal 5 7 2" xfId="430" xr:uid="{302D1A44-2BF6-42F4-922E-67D5E5E89A99}"/>
    <cellStyle name="Normal 5 7 2 2" xfId="796" xr:uid="{E04AB3B9-0550-42B8-BE91-C0B9B3E38C53}"/>
    <cellStyle name="Normal 5 7 3" xfId="612" xr:uid="{8ACF99C6-1D22-4DFD-ADF6-21D513728167}"/>
    <cellStyle name="Normal 5 8" xfId="131" xr:uid="{69026930-73F5-4059-AD40-719400392E17}"/>
    <cellStyle name="Normal 5 8 2" xfId="431" xr:uid="{32EF8AE2-23A2-4764-9ED1-418B555E0B71}"/>
    <cellStyle name="Normal 5 8 2 2" xfId="797" xr:uid="{9942E5AC-D735-4C33-B14B-54013A5CC0BA}"/>
    <cellStyle name="Normal 5 8 3" xfId="613" xr:uid="{F434BAB1-6119-4AF1-97B0-7768417B02E3}"/>
    <cellStyle name="Normal 5 9" xfId="132" xr:uid="{0A21283C-6AAC-4F0B-9866-291631C8B07A}"/>
    <cellStyle name="Normal 5 9 2" xfId="432" xr:uid="{E4E73D92-858E-4AE0-8BCC-F06468CE9AE4}"/>
    <cellStyle name="Normal 5 9 2 2" xfId="798" xr:uid="{3D52BBE6-8396-4E4E-89DB-08615D50134A}"/>
    <cellStyle name="Normal 5 9 3" xfId="614" xr:uid="{63E0E202-DCD2-4788-8790-867D3E49D881}"/>
    <cellStyle name="Normal 6" xfId="51" xr:uid="{E4992DC1-4B1A-496B-83BC-DF27D4761030}"/>
    <cellStyle name="Normal 6 2" xfId="304" xr:uid="{281AF773-4EAE-4DD9-91F8-D9E22DC93864}"/>
    <cellStyle name="Normal 7" xfId="133" xr:uid="{777E7C18-051E-4732-9C41-A36553E77FC9}"/>
    <cellStyle name="Normal 7 10" xfId="433" xr:uid="{CFA92F83-2B4A-4927-AEED-1AF07DB0D636}"/>
    <cellStyle name="Normal 7 10 2" xfId="799" xr:uid="{4D0EAD5E-5141-48ED-BF32-A94D3422D850}"/>
    <cellStyle name="Normal 7 11" xfId="615" xr:uid="{CADC3FC7-494D-447E-92B1-CB867EFDC7A2}"/>
    <cellStyle name="Normal 7 2" xfId="134" xr:uid="{A19E4200-6FAC-46A5-B937-08982F8C6BBE}"/>
    <cellStyle name="Normal 7 2 2" xfId="135" xr:uid="{DA0627E9-521E-4BCF-A603-F37BF9277247}"/>
    <cellStyle name="Normal 7 2 2 2" xfId="434" xr:uid="{B8B1C414-AB45-4BF3-9637-A17A9D620E66}"/>
    <cellStyle name="Normal 7 2 2 2 2" xfId="800" xr:uid="{55CF102B-DCB2-4A21-8DD6-02408AB9AC4D}"/>
    <cellStyle name="Normal 7 2 2 3" xfId="617" xr:uid="{C62EDDA2-EBFF-4174-87CA-AC1A8A99ED2B}"/>
    <cellStyle name="Normal 7 2 3" xfId="136" xr:uid="{6AC29849-02D6-45B0-9F77-B118652E7749}"/>
    <cellStyle name="Normal 7 2 3 2" xfId="435" xr:uid="{95BA98FA-22A3-4EAA-828E-3F53F1CF05BC}"/>
    <cellStyle name="Normal 7 2 3 2 2" xfId="801" xr:uid="{0BE88A94-7ADB-498F-A6BF-AF82B66CC46F}"/>
    <cellStyle name="Normal 7 2 3 3" xfId="618" xr:uid="{DF256D14-AB2B-4C51-AC69-90A891D25A4C}"/>
    <cellStyle name="Normal 7 2 4" xfId="436" xr:uid="{8DDCE807-829D-4491-B6B1-0EFC304EB21F}"/>
    <cellStyle name="Normal 7 2 4 2" xfId="802" xr:uid="{A3A796BC-D5F7-4D7B-8BE6-F10A740681FC}"/>
    <cellStyle name="Normal 7 2 5" xfId="616" xr:uid="{0EEF0EE0-7B89-464A-9575-25AD40256BD8}"/>
    <cellStyle name="Normal 7 3" xfId="137" xr:uid="{4333699C-FC4D-4355-9D52-91F0692D9189}"/>
    <cellStyle name="Normal 7 3 2" xfId="138" xr:uid="{2D03CF93-DA2C-4B31-82AA-D20DBDB9AED4}"/>
    <cellStyle name="Normal 7 3 2 2" xfId="437" xr:uid="{64F6474D-F37F-48F1-A3BD-424DE7FFCF4E}"/>
    <cellStyle name="Normal 7 3 2 2 2" xfId="803" xr:uid="{3C752AE6-23BA-4FDA-A287-8BE153491D69}"/>
    <cellStyle name="Normal 7 3 2 3" xfId="620" xr:uid="{ABF28418-1635-4CD3-AE97-5230AB27CE7E}"/>
    <cellStyle name="Normal 7 3 3" xfId="438" xr:uid="{D2FEFA8B-2714-4112-9D14-A2FD4DC72403}"/>
    <cellStyle name="Normal 7 3 3 2" xfId="804" xr:uid="{8343F341-084F-47FA-8720-AE91D7F9D20B}"/>
    <cellStyle name="Normal 7 3 4" xfId="619" xr:uid="{E19ACAD0-BB69-4384-A8FE-0D27C702BBED}"/>
    <cellStyle name="Normal 7 4" xfId="139" xr:uid="{50443086-0DA6-4BE9-8584-62AC21639178}"/>
    <cellStyle name="Normal 7 4 2" xfId="140" xr:uid="{0CF2DF97-A38B-48E8-B545-F51B3C975D02}"/>
    <cellStyle name="Normal 7 4 2 2" xfId="439" xr:uid="{419FE375-16B5-4D1D-8AC9-CD605FD77A62}"/>
    <cellStyle name="Normal 7 4 2 2 2" xfId="805" xr:uid="{CE621A05-AEBC-46BC-B1EE-A0DC3DF8CC54}"/>
    <cellStyle name="Normal 7 4 2 3" xfId="622" xr:uid="{CD3E09EB-CE72-406D-90A0-C1CBC6C35784}"/>
    <cellStyle name="Normal 7 4 3" xfId="440" xr:uid="{B398B339-D151-4892-86EC-05A42577C1EC}"/>
    <cellStyle name="Normal 7 4 3 2" xfId="806" xr:uid="{A74F351D-2041-47D5-9988-B047B0925B9B}"/>
    <cellStyle name="Normal 7 4 4" xfId="621" xr:uid="{4CBAC38F-8FFC-45DF-8F55-05B62CB4983D}"/>
    <cellStyle name="Normal 7 5" xfId="141" xr:uid="{2623EE3C-4AC7-4412-967A-3292705BE10D}"/>
    <cellStyle name="Normal 7 5 2" xfId="142" xr:uid="{6649A465-42FD-443E-B06C-E6FCC31C00EC}"/>
    <cellStyle name="Normal 7 5 2 2" xfId="441" xr:uid="{E7271A14-6CC8-4AE4-8EF8-296980FCA5AF}"/>
    <cellStyle name="Normal 7 5 2 2 2" xfId="807" xr:uid="{86EECACE-A1A4-4084-AA54-DE103B7F71BA}"/>
    <cellStyle name="Normal 7 5 2 3" xfId="624" xr:uid="{8B17D02E-8625-41BE-BC56-0F57FB47DD4D}"/>
    <cellStyle name="Normal 7 5 3" xfId="442" xr:uid="{7181655B-79B8-4AF3-8CFC-80219ABFB939}"/>
    <cellStyle name="Normal 7 5 3 2" xfId="808" xr:uid="{418F4166-4F47-4A57-B128-6A7F1EBC1635}"/>
    <cellStyle name="Normal 7 5 4" xfId="623" xr:uid="{CAE87F73-89AA-47F0-AFD1-B0687350C0B6}"/>
    <cellStyle name="Normal 7 6" xfId="143" xr:uid="{DB8C4C34-E0ED-4FA0-800F-C94521117C26}"/>
    <cellStyle name="Normal 7 6 2" xfId="443" xr:uid="{A44D0A6F-B7B8-4F54-B1A3-973D7671EA32}"/>
    <cellStyle name="Normal 7 6 2 2" xfId="809" xr:uid="{FB2317AB-056C-4A61-B014-A8741A18748E}"/>
    <cellStyle name="Normal 7 6 3" xfId="625" xr:uid="{296B1652-B509-4E26-8654-CA86B20DE29D}"/>
    <cellStyle name="Normal 7 7" xfId="144" xr:uid="{AFD685EF-868C-4FD4-BF28-A0966C8B81EF}"/>
    <cellStyle name="Normal 7 7 2" xfId="444" xr:uid="{64157D5D-71C4-4555-B02C-0A41332E0E8A}"/>
    <cellStyle name="Normal 7 7 2 2" xfId="810" xr:uid="{E6757161-1D3A-49B5-A7F8-DDD87FAF4415}"/>
    <cellStyle name="Normal 7 7 3" xfId="626" xr:uid="{D189AF77-CA8A-4758-B77D-46BF7A0AEFD0}"/>
    <cellStyle name="Normal 7 8" xfId="145" xr:uid="{7DF45003-6016-41F5-8A6E-673F47CA12B6}"/>
    <cellStyle name="Normal 7 8 2" xfId="445" xr:uid="{5650AA98-11FC-4891-8A32-08086D8B317D}"/>
    <cellStyle name="Normal 7 8 2 2" xfId="811" xr:uid="{B450D1FE-ED5B-438F-82FD-1D827018CE8E}"/>
    <cellStyle name="Normal 7 8 3" xfId="627" xr:uid="{6D298EF8-965B-486B-A41A-5C94E97F0DE3}"/>
    <cellStyle name="Normal 7 9" xfId="446" xr:uid="{35C1F59B-098F-42E8-B8AA-A06C4B245D89}"/>
    <cellStyle name="Normal 7 9 2" xfId="812" xr:uid="{F1F38A55-7835-45C2-9892-91A97A8307F5}"/>
    <cellStyle name="Normal 8" xfId="48" xr:uid="{5BB5AAD0-E19E-4A24-A00C-E062FCEE7683}"/>
    <cellStyle name="Normal 8 2" xfId="146" xr:uid="{3CE9CC39-3F11-4531-96B6-62DB6CAD7CF1}"/>
    <cellStyle name="Normal 8 2 2" xfId="147" xr:uid="{6322A98C-D7D9-46D9-9165-484AF5C52D82}"/>
    <cellStyle name="Normal 8 2 2 2" xfId="447" xr:uid="{431BC44C-0403-46E1-88D3-D267F1F7F864}"/>
    <cellStyle name="Normal 8 2 2 2 2" xfId="813" xr:uid="{3C8369EA-B452-4324-953A-95FD0BB0A4E5}"/>
    <cellStyle name="Normal 8 2 2 3" xfId="629" xr:uid="{2A18A129-508D-49F8-B52C-F71D13C106D7}"/>
    <cellStyle name="Normal 8 2 3" xfId="448" xr:uid="{7C25B57F-55F2-4699-8B79-75A680949C51}"/>
    <cellStyle name="Normal 8 2 3 2" xfId="814" xr:uid="{66F9A1B0-AFE6-4F40-886A-317EB8F6143D}"/>
    <cellStyle name="Normal 8 2 4" xfId="628" xr:uid="{125521EF-671C-4F34-9617-AB7AF5F525AA}"/>
    <cellStyle name="Normal 8 3" xfId="148" xr:uid="{2269B735-96B3-4FD9-89CB-0486F4514341}"/>
    <cellStyle name="Normal 8 3 2" xfId="149" xr:uid="{84F3209E-35C4-452F-8846-10AFAEE890E7}"/>
    <cellStyle name="Normal 8 3 2 2" xfId="449" xr:uid="{B3EBAC99-3996-4CF9-8F2F-2196950AE0C2}"/>
    <cellStyle name="Normal 8 3 2 2 2" xfId="815" xr:uid="{3D8071B9-011F-4659-9A05-F06657239282}"/>
    <cellStyle name="Normal 8 3 2 3" xfId="631" xr:uid="{7AF09D30-C9B0-4978-BD1B-3F368FA2991A}"/>
    <cellStyle name="Normal 8 3 3" xfId="450" xr:uid="{D38E813C-2227-4613-AE65-ADDC5A574F1B}"/>
    <cellStyle name="Normal 8 3 3 2" xfId="816" xr:uid="{E8E865E5-823B-47C1-A842-2432914AB1AB}"/>
    <cellStyle name="Normal 8 3 4" xfId="630" xr:uid="{53B99DF6-1209-4138-A286-B2CD6423595F}"/>
    <cellStyle name="Normal 8 4" xfId="150" xr:uid="{6B619D27-478C-44CF-978E-9924A63171B2}"/>
    <cellStyle name="Normal 8 4 2" xfId="151" xr:uid="{455FD5FD-4327-445E-84F0-225D43EF988D}"/>
    <cellStyle name="Normal 8 4 2 2" xfId="451" xr:uid="{0E855712-8C9A-4F00-8BED-2E5C50CA64F6}"/>
    <cellStyle name="Normal 8 4 2 2 2" xfId="817" xr:uid="{E184EAB3-DD57-42DD-8AF9-3B9010851322}"/>
    <cellStyle name="Normal 8 4 2 3" xfId="633" xr:uid="{C4E3E39C-EBD3-42D6-BEB5-ED590302B9E9}"/>
    <cellStyle name="Normal 8 4 3" xfId="452" xr:uid="{83B9E86B-EAAC-4704-B8A9-B3AC7342A86C}"/>
    <cellStyle name="Normal 8 4 3 2" xfId="818" xr:uid="{8E5E0C78-5304-47AA-B191-D5A0A1FEF53E}"/>
    <cellStyle name="Normal 8 4 4" xfId="632" xr:uid="{8CEEDA88-73E9-45AE-B855-04100C6C54A7}"/>
    <cellStyle name="Normal 8 5" xfId="152" xr:uid="{D5736992-7C56-4A6D-9C94-8946EB5067E1}"/>
    <cellStyle name="Normal 8 5 2" xfId="453" xr:uid="{C18BBDDB-6360-4691-BF1E-107A3FD4B5A8}"/>
    <cellStyle name="Normal 8 5 2 2" xfId="819" xr:uid="{CBFE8FBB-5F92-4B24-99F2-8D0B35121CFC}"/>
    <cellStyle name="Normal 8 5 3" xfId="634" xr:uid="{B6F169AB-D4F4-4D00-9D76-77CC21813029}"/>
    <cellStyle name="Normal 8 6" xfId="454" xr:uid="{4F6F3206-1BFE-4ACD-96F4-19B4A8C4D86B}"/>
    <cellStyle name="Normal 9" xfId="153" xr:uid="{6054EF1A-0DF3-4C1D-BB4E-E4EF38E388F2}"/>
    <cellStyle name="Note 2" xfId="305" xr:uid="{4B61CCF4-9956-4724-86AA-88B3A0EAD99B}"/>
    <cellStyle name="Note 2 2" xfId="710" xr:uid="{17C4E588-F1D2-49F4-BB2F-8097D58F454A}"/>
    <cellStyle name="Note 3" xfId="306" xr:uid="{DDC1E325-35D7-4FBC-87A4-723E116361F1}"/>
    <cellStyle name="Note 3 2" xfId="711" xr:uid="{9757967F-9C45-4672-8403-71D97E1EAE0B}"/>
    <cellStyle name="Note 4" xfId="307" xr:uid="{671B1A75-9FD2-413B-98D7-C4DCF1B764C2}"/>
    <cellStyle name="Note 4 2" xfId="712" xr:uid="{53584BEC-848F-4398-91DF-BB365244D09E}"/>
    <cellStyle name="Note 5" xfId="308" xr:uid="{F6E0437E-47C3-401D-B8A5-127ECBD09ECE}"/>
    <cellStyle name="Output 2" xfId="309" xr:uid="{213C48F7-9348-40E1-B2EF-DD94B87F0DE4}"/>
    <cellStyle name="Percent" xfId="2" builtinId="5"/>
    <cellStyle name="Percent 2" xfId="9" xr:uid="{9678A6D0-B26B-4828-B65E-90C1BC5266C9}"/>
    <cellStyle name="Percent 2 10" xfId="455" xr:uid="{1E6FBDFC-D2C3-48CE-99D3-7FFF3D90F83E}"/>
    <cellStyle name="Percent 2 11" xfId="456" xr:uid="{EFF02273-547F-4C4A-A159-5891E1E34760}"/>
    <cellStyle name="Percent 2 11 2" xfId="820" xr:uid="{64234E1F-2132-4DD5-961E-F670A261B0D3}"/>
    <cellStyle name="Percent 2 12" xfId="531" xr:uid="{FB8DFB8E-A112-44A5-9F80-744600BF7B1F}"/>
    <cellStyle name="Percent 2 13" xfId="43" xr:uid="{BBF24E47-EE6C-4D24-8DAE-34EA9D85D6CC}"/>
    <cellStyle name="Percent 2 2" xfId="154" xr:uid="{11D27DED-11E0-4D5F-A1FF-7765BC396951}"/>
    <cellStyle name="Percent 2 2 10" xfId="310" xr:uid="{71472310-919C-4C36-8ECD-7D8F27457518}"/>
    <cellStyle name="Percent 2 2 11" xfId="311" xr:uid="{C15CADB2-86EF-4BE3-9007-044D74067067}"/>
    <cellStyle name="Percent 2 2 12" xfId="312" xr:uid="{AC777E3A-EA52-4E7A-BE08-03D62C187207}"/>
    <cellStyle name="Percent 2 2 13" xfId="635" xr:uid="{AF5890ED-A80A-4A20-A5F6-3B8E7C4F82B1}"/>
    <cellStyle name="Percent 2 2 2" xfId="155" xr:uid="{0B6158A0-67AC-49C0-9289-7912CF07507C}"/>
    <cellStyle name="Percent 2 2 2 2" xfId="156" xr:uid="{017C298D-57E4-4949-96A3-6366EACE2C12}"/>
    <cellStyle name="Percent 2 2 2 2 2" xfId="457" xr:uid="{98E5C7AD-70A0-4DAC-9277-C665DF6D1C8A}"/>
    <cellStyle name="Percent 2 2 2 2 2 2" xfId="821" xr:uid="{840B6535-CF59-48CF-BFB5-5D3C2C1FEACF}"/>
    <cellStyle name="Percent 2 2 2 2 3" xfId="637" xr:uid="{280B95C4-7BA9-42A8-B060-A6A8305DB514}"/>
    <cellStyle name="Percent 2 2 2 3" xfId="458" xr:uid="{BA39EC6A-53B9-4902-8A69-D18E9202203B}"/>
    <cellStyle name="Percent 2 2 2 3 2" xfId="822" xr:uid="{B94492FB-B698-4A37-94A5-77279D625FDC}"/>
    <cellStyle name="Percent 2 2 2 4" xfId="636" xr:uid="{4D477943-83FF-4315-B64D-DE56C49D8851}"/>
    <cellStyle name="Percent 2 2 3" xfId="157" xr:uid="{1A5643B5-3FE7-4197-8696-F40434362E96}"/>
    <cellStyle name="Percent 2 2 3 2" xfId="459" xr:uid="{3BE62EE8-3787-4494-A889-88F792E346DC}"/>
    <cellStyle name="Percent 2 2 3 2 2" xfId="823" xr:uid="{2C25343C-E53C-469D-8908-2545CCBA72CA}"/>
    <cellStyle name="Percent 2 2 3 3" xfId="638" xr:uid="{E7F4B21B-01CF-485B-8D8B-24215D18C85D}"/>
    <cellStyle name="Percent 2 2 4" xfId="158" xr:uid="{16D85B7E-6F44-4C48-A9C5-4F9149A1A87C}"/>
    <cellStyle name="Percent 2 2 4 2" xfId="460" xr:uid="{77CE4BA8-6B3C-4A95-8891-4313A2F68B5A}"/>
    <cellStyle name="Percent 2 2 4 2 2" xfId="824" xr:uid="{74646EA0-EEE3-4E28-B2BB-4FF7F7EE1792}"/>
    <cellStyle name="Percent 2 2 4 3" xfId="639" xr:uid="{022269A9-A60A-473E-84FA-1946FA2A89BA}"/>
    <cellStyle name="Percent 2 2 5" xfId="313" xr:uid="{CD8AFBBF-65AD-42E9-BED8-638EF7308411}"/>
    <cellStyle name="Percent 2 2 6" xfId="314" xr:uid="{7E35D918-0755-4B65-A879-6FD531BCC367}"/>
    <cellStyle name="Percent 2 2 7" xfId="315" xr:uid="{850B7941-851B-47EC-95DB-0A460785F6A8}"/>
    <cellStyle name="Percent 2 2 8" xfId="316" xr:uid="{AD219F9F-99CD-422B-9E88-300ADBEB7E51}"/>
    <cellStyle name="Percent 2 2 9" xfId="317" xr:uid="{35567E0D-E0DB-406A-B71F-CDAB8E1725B0}"/>
    <cellStyle name="Percent 2 3" xfId="159" xr:uid="{970472B8-BC39-40B4-AD33-83E262CE030F}"/>
    <cellStyle name="Percent 2 3 10" xfId="318" xr:uid="{5BE50466-8219-4C97-8907-47615BB7FAFD}"/>
    <cellStyle name="Percent 2 3 11" xfId="319" xr:uid="{1AF53529-6B88-4831-87D1-A9E1260425A3}"/>
    <cellStyle name="Percent 2 3 12" xfId="320" xr:uid="{D2E4600C-09B8-44B2-9B32-3D660C76135E}"/>
    <cellStyle name="Percent 2 3 13" xfId="640" xr:uid="{EBD29328-277A-40E2-A0FE-32617EA67DF0}"/>
    <cellStyle name="Percent 2 3 2" xfId="160" xr:uid="{CF9CFBCA-DE56-45AE-99C5-4D1548898DE8}"/>
    <cellStyle name="Percent 2 3 2 2" xfId="461" xr:uid="{C1E76080-0A0F-4B34-9888-D69667A2FB5C}"/>
    <cellStyle name="Percent 2 3 2 2 2" xfId="825" xr:uid="{8A0BE8D3-0978-4C72-8C16-B09FA02D1EBA}"/>
    <cellStyle name="Percent 2 3 2 3" xfId="641" xr:uid="{0F91DFE3-9E79-40BF-BFDC-87E68E32973F}"/>
    <cellStyle name="Percent 2 3 3" xfId="161" xr:uid="{64C9DC6E-A2F4-40DD-90AA-59AA097BCFB9}"/>
    <cellStyle name="Percent 2 3 3 2" xfId="462" xr:uid="{66F502CD-B7D5-4C54-A1DC-63DD14D60CAB}"/>
    <cellStyle name="Percent 2 3 3 2 2" xfId="826" xr:uid="{1D297AEF-5A08-4C18-9067-9FBE49AD47BF}"/>
    <cellStyle name="Percent 2 3 3 3" xfId="642" xr:uid="{8B1FBD08-5766-4C6C-8F0B-DB325A504E13}"/>
    <cellStyle name="Percent 2 3 4" xfId="321" xr:uid="{7B9F65A0-69C0-40FB-81F9-65E565D74683}"/>
    <cellStyle name="Percent 2 3 5" xfId="322" xr:uid="{F5BD6C40-872F-4E03-8DD0-6A6B20F9666A}"/>
    <cellStyle name="Percent 2 3 6" xfId="323" xr:uid="{EC8E72DA-6613-4D77-82E5-02BBD1B0F4B7}"/>
    <cellStyle name="Percent 2 3 7" xfId="324" xr:uid="{976BB94C-2D4B-44EF-B2CB-8C2D19D308DE}"/>
    <cellStyle name="Percent 2 3 8" xfId="325" xr:uid="{0FC0D2CB-ADD9-4830-9BE8-6A89B15DEC72}"/>
    <cellStyle name="Percent 2 3 9" xfId="326" xr:uid="{326CE798-51B5-42CA-9910-11F0A393510A}"/>
    <cellStyle name="Percent 2 4" xfId="162" xr:uid="{882A54E5-01A0-47C2-A7C3-932F62B8EFE2}"/>
    <cellStyle name="Percent 2 4 10" xfId="327" xr:uid="{86563D59-AFCD-4978-9BCC-B266BE239C16}"/>
    <cellStyle name="Percent 2 4 11" xfId="328" xr:uid="{FA48F9E1-61B7-4F4A-8EA9-1AA2ED215C69}"/>
    <cellStyle name="Percent 2 4 12" xfId="329" xr:uid="{8DB834E4-E86D-4406-895D-57AA6FD396CD}"/>
    <cellStyle name="Percent 2 4 13" xfId="643" xr:uid="{C25CD4E5-E400-48E9-90B6-546861C2EBA8}"/>
    <cellStyle name="Percent 2 4 2" xfId="163" xr:uid="{949B520F-7484-437E-8055-B94E002784C2}"/>
    <cellStyle name="Percent 2 4 2 2" xfId="463" xr:uid="{0B42CFC2-3599-4AF3-8AC4-B55A6D4C58A0}"/>
    <cellStyle name="Percent 2 4 2 2 2" xfId="827" xr:uid="{2DE655CB-618C-4E9E-B524-AF0A7F5E7220}"/>
    <cellStyle name="Percent 2 4 2 3" xfId="644" xr:uid="{3C683B30-45B5-422B-ABEB-C678D1318BD1}"/>
    <cellStyle name="Percent 2 4 3" xfId="330" xr:uid="{B6266B8A-1AAB-4E4E-A3B9-CD6BFBC133B3}"/>
    <cellStyle name="Percent 2 4 4" xfId="331" xr:uid="{7F29F543-7EE9-4746-AE20-97CE595BEA9C}"/>
    <cellStyle name="Percent 2 4 5" xfId="332" xr:uid="{C1E84EC7-C552-4215-8706-F72196665367}"/>
    <cellStyle name="Percent 2 4 6" xfId="333" xr:uid="{B2730D7C-0198-4123-A634-F7CB27020CEE}"/>
    <cellStyle name="Percent 2 4 7" xfId="334" xr:uid="{D5FC5937-1322-4F3A-9529-661851C595B5}"/>
    <cellStyle name="Percent 2 4 8" xfId="335" xr:uid="{912C6022-1DB7-458A-973D-AA017FF0A62D}"/>
    <cellStyle name="Percent 2 4 9" xfId="336" xr:uid="{B24B4238-F1F0-4D61-A8FF-352B420D5106}"/>
    <cellStyle name="Percent 2 5" xfId="164" xr:uid="{471D3FC6-5881-433C-A204-FB760E236447}"/>
    <cellStyle name="Percent 2 5 2" xfId="165" xr:uid="{BF57EDA0-FE57-4418-9CA2-CC6113CC98C8}"/>
    <cellStyle name="Percent 2 5 2 2" xfId="464" xr:uid="{30B05937-7A4B-47A6-887F-AC4478EF19C6}"/>
    <cellStyle name="Percent 2 5 2 2 2" xfId="828" xr:uid="{9C392028-9751-459B-85D1-AAB0455054B2}"/>
    <cellStyle name="Percent 2 5 2 3" xfId="646" xr:uid="{46283A3B-73F7-45FC-8D7C-10714CB6E411}"/>
    <cellStyle name="Percent 2 5 3" xfId="465" xr:uid="{0804378E-2CB9-4A76-93D8-7663E2CA38F2}"/>
    <cellStyle name="Percent 2 5 3 2" xfId="829" xr:uid="{72E15A70-F03C-4ACB-9702-704C5C1BE125}"/>
    <cellStyle name="Percent 2 5 4" xfId="645" xr:uid="{5DCA9091-032E-439D-922C-BA18FE455CA7}"/>
    <cellStyle name="Percent 2 6" xfId="166" xr:uid="{5C25C235-967D-4832-AE95-D75C3D409B7C}"/>
    <cellStyle name="Percent 2 6 2" xfId="167" xr:uid="{50B013BC-B3B4-4AAB-902D-9471F9775F9E}"/>
    <cellStyle name="Percent 2 6 2 2" xfId="466" xr:uid="{A431DE19-6C2B-4642-A011-A51A901F7941}"/>
    <cellStyle name="Percent 2 6 2 2 2" xfId="830" xr:uid="{D0D9BD0F-6459-44B3-801E-4537A273167D}"/>
    <cellStyle name="Percent 2 6 2 3" xfId="648" xr:uid="{E9DB2E90-F7DF-4602-B722-72DBC84A5A6C}"/>
    <cellStyle name="Percent 2 6 3" xfId="467" xr:uid="{47AA970F-D0E5-4F43-BE63-5E1DAD578A4E}"/>
    <cellStyle name="Percent 2 6 3 2" xfId="831" xr:uid="{092E0603-D327-48D3-A5B2-E2659E002686}"/>
    <cellStyle name="Percent 2 6 4" xfId="647" xr:uid="{59D06CF3-BDD4-4A80-985B-7F8E3BB0DE7E}"/>
    <cellStyle name="Percent 2 7" xfId="168" xr:uid="{78FA8C8B-BDA2-4B89-9CAF-975975589185}"/>
    <cellStyle name="Percent 2 7 2" xfId="468" xr:uid="{14C60DD2-1B60-4CFE-BEC4-6DF2634C6613}"/>
    <cellStyle name="Percent 2 7 2 2" xfId="832" xr:uid="{C76D6D43-DE7B-4BCA-B48C-D418825A5167}"/>
    <cellStyle name="Percent 2 7 3" xfId="649" xr:uid="{1D7EB20B-9089-4C2D-B76F-7916D55FD8D5}"/>
    <cellStyle name="Percent 2 8" xfId="169" xr:uid="{764D7323-4A21-4A80-A64D-C88877A7E83C}"/>
    <cellStyle name="Percent 2 8 2" xfId="469" xr:uid="{D04B7192-9E67-498A-802A-52A01899BC74}"/>
    <cellStyle name="Percent 2 8 2 2" xfId="833" xr:uid="{290A9F56-87FD-4109-AF29-57D4E37117A0}"/>
    <cellStyle name="Percent 2 8 3" xfId="650" xr:uid="{84642A1D-1D3B-44EB-B2B7-C579F59C9A4B}"/>
    <cellStyle name="Percent 2 9" xfId="170" xr:uid="{D5295176-FAEA-4C03-A9ED-049F9F3D4F9E}"/>
    <cellStyle name="Percent 2 9 2" xfId="470" xr:uid="{77374709-BE8D-4B03-A9D7-216248DD1C4F}"/>
    <cellStyle name="Percent 2 9 2 2" xfId="834" xr:uid="{84D69326-86F2-4B63-AEF5-D250A4BA8A8F}"/>
    <cellStyle name="Percent 2 9 3" xfId="651" xr:uid="{54DAB622-1CDE-4EFA-AF9C-2E384FAAF750}"/>
    <cellStyle name="Percent 3" xfId="50" xr:uid="{E40471B2-36BB-4BC5-A071-C06F5FA9F4E1}"/>
    <cellStyle name="Percent 3 10" xfId="471" xr:uid="{E97C5D09-6405-4151-B848-53412AF92DF9}"/>
    <cellStyle name="Percent 3 10 2" xfId="835" xr:uid="{1E3B4F37-DAA6-434A-AB2E-9EE0AD4382CB}"/>
    <cellStyle name="Percent 3 11" xfId="472" xr:uid="{93C57BA2-D15B-4353-B2F1-D8F7F3CC9FB4}"/>
    <cellStyle name="Percent 3 11 2" xfId="836" xr:uid="{901EA3C4-9517-4FC1-9813-250F00966B08}"/>
    <cellStyle name="Percent 3 12" xfId="536" xr:uid="{CAFB0BE6-D08C-4EC1-AF9C-75DD5BA8F8A5}"/>
    <cellStyle name="Percent 3 2" xfId="171" xr:uid="{DEC8D05C-65D4-42A1-9635-250233F92B35}"/>
    <cellStyle name="Percent 3 2 2" xfId="172" xr:uid="{DC51D18B-A468-4725-8569-385A58137FA7}"/>
    <cellStyle name="Percent 3 2 2 2" xfId="173" xr:uid="{83F5DAAC-DFFD-41DF-8C02-7E7CC51859A5}"/>
    <cellStyle name="Percent 3 2 2 2 2" xfId="473" xr:uid="{DEED59C4-EB59-428B-B124-8BED6778FC03}"/>
    <cellStyle name="Percent 3 2 2 2 2 2" xfId="837" xr:uid="{8AB52848-7C1A-4CA0-AF92-DEEF34831670}"/>
    <cellStyle name="Percent 3 2 2 2 3" xfId="654" xr:uid="{BDB65B72-A2F0-497D-9D7C-417AC60A42FB}"/>
    <cellStyle name="Percent 3 2 2 3" xfId="474" xr:uid="{745A4662-5F13-46F6-9C85-96FC6D7DDCE2}"/>
    <cellStyle name="Percent 3 2 2 3 2" xfId="838" xr:uid="{9B37F30E-29AE-49F8-9677-010DB1799CE8}"/>
    <cellStyle name="Percent 3 2 2 4" xfId="653" xr:uid="{0F533E0D-1B8D-4056-AF00-AFEAB3E6B6BB}"/>
    <cellStyle name="Percent 3 2 3" xfId="174" xr:uid="{8631E79A-EEB2-4674-BBC9-5C784A3495EA}"/>
    <cellStyle name="Percent 3 2 3 2" xfId="475" xr:uid="{5BB723CE-B225-4549-9C2B-6C51E99B70BC}"/>
    <cellStyle name="Percent 3 2 3 2 2" xfId="839" xr:uid="{6B8DE3B0-284A-41F3-804D-A5F29B25D40A}"/>
    <cellStyle name="Percent 3 2 3 3" xfId="655" xr:uid="{58A75339-6034-4684-A722-B3C65B471D41}"/>
    <cellStyle name="Percent 3 2 4" xfId="175" xr:uid="{233B7277-59F8-4F2D-84A2-01F8739FCBD4}"/>
    <cellStyle name="Percent 3 2 4 2" xfId="476" xr:uid="{F2EF104F-542F-41B1-A07E-37BC5C307BC7}"/>
    <cellStyle name="Percent 3 2 4 2 2" xfId="840" xr:uid="{BC19A9CB-13B2-41F7-B850-E0105CA7864C}"/>
    <cellStyle name="Percent 3 2 4 3" xfId="656" xr:uid="{946CA931-65C3-40A8-91BB-BC5B349CE379}"/>
    <cellStyle name="Percent 3 2 5" xfId="477" xr:uid="{3BFE3D79-6528-402F-84D2-C9CA938FF4F5}"/>
    <cellStyle name="Percent 3 2 5 2" xfId="841" xr:uid="{6BDA99EA-CBBE-4C5D-B780-97F27D54D637}"/>
    <cellStyle name="Percent 3 2 6" xfId="478" xr:uid="{ACE75666-8408-4267-9A60-B370D765AB32}"/>
    <cellStyle name="Percent 3 2 6 2" xfId="842" xr:uid="{DE000426-6B6F-4E2C-8A85-702507FF5F7C}"/>
    <cellStyle name="Percent 3 2 7" xfId="652" xr:uid="{1B3EBF44-A0AB-4B37-8703-C58F8EF012B1}"/>
    <cellStyle name="Percent 3 3" xfId="176" xr:uid="{CA43C99E-DA13-4060-8699-37C2843DC174}"/>
    <cellStyle name="Percent 3 3 2" xfId="177" xr:uid="{173A05E1-52AF-4111-9604-D04CE38B4FA2}"/>
    <cellStyle name="Percent 3 3 2 2" xfId="479" xr:uid="{39287883-CFC6-445A-966A-491F275DE705}"/>
    <cellStyle name="Percent 3 3 2 2 2" xfId="843" xr:uid="{C8EBE34F-84F8-4B1E-9DEC-1424FE69E3CB}"/>
    <cellStyle name="Percent 3 3 2 3" xfId="658" xr:uid="{040EC356-1891-4576-A966-0A7E91EB7734}"/>
    <cellStyle name="Percent 3 3 3" xfId="178" xr:uid="{295DB9F0-C37D-4211-A420-D133DE859E04}"/>
    <cellStyle name="Percent 3 3 3 2" xfId="480" xr:uid="{11375C92-D0C0-4FC1-BC37-01112940B553}"/>
    <cellStyle name="Percent 3 3 3 2 2" xfId="844" xr:uid="{44A0C031-AD64-422D-BD8F-1C49DADE4BEF}"/>
    <cellStyle name="Percent 3 3 3 3" xfId="659" xr:uid="{0F636502-B53D-4EC6-8A2F-7344D5CAEECE}"/>
    <cellStyle name="Percent 3 3 4" xfId="481" xr:uid="{FA6B20EA-5DA9-4DF3-B1EF-35A9638C982F}"/>
    <cellStyle name="Percent 3 3 4 2" xfId="845" xr:uid="{1AA7EBBB-A979-40A4-A56F-281707E7211E}"/>
    <cellStyle name="Percent 3 3 5" xfId="657" xr:uid="{C3F0F06F-A8A9-411F-A0AB-92FE525AAFAD}"/>
    <cellStyle name="Percent 3 4" xfId="179" xr:uid="{D1E0801B-7746-4A1C-B906-833BA58C9EB3}"/>
    <cellStyle name="Percent 3 4 2" xfId="180" xr:uid="{9482FB08-D4AD-4AEF-9B26-A3379A5BB40E}"/>
    <cellStyle name="Percent 3 4 2 2" xfId="482" xr:uid="{E8786AD8-AB8A-4E0E-AE93-1359B7E6DA7A}"/>
    <cellStyle name="Percent 3 4 2 2 2" xfId="846" xr:uid="{4BF502AF-D24B-4ADD-BF78-D2244C6926C4}"/>
    <cellStyle name="Percent 3 4 2 3" xfId="661" xr:uid="{73E72960-61E6-402C-81EB-1849BD0905D4}"/>
    <cellStyle name="Percent 3 4 3" xfId="483" xr:uid="{35AD5A27-0174-4596-8FE4-D7F42306DB2F}"/>
    <cellStyle name="Percent 3 4 3 2" xfId="847" xr:uid="{BD281541-FEC4-4D82-8252-62D36D3B56E2}"/>
    <cellStyle name="Percent 3 4 4" xfId="660" xr:uid="{8E11141F-7418-41A8-A417-0C38927440D4}"/>
    <cellStyle name="Percent 3 5" xfId="181" xr:uid="{AFEE48FD-99D8-4FE4-8D11-6518F09A8E92}"/>
    <cellStyle name="Percent 3 5 2" xfId="182" xr:uid="{69126F6E-022F-4CF5-A76A-4276F2614D77}"/>
    <cellStyle name="Percent 3 5 2 2" xfId="484" xr:uid="{16ACDE0D-108C-44AF-A586-98CD35529971}"/>
    <cellStyle name="Percent 3 5 2 2 2" xfId="848" xr:uid="{A333D3CC-F9D4-4E5E-A54D-D15A52A0ABA1}"/>
    <cellStyle name="Percent 3 5 2 3" xfId="663" xr:uid="{07E9DCF0-615E-4549-AD5F-919DC98958CB}"/>
    <cellStyle name="Percent 3 5 3" xfId="485" xr:uid="{ADAF6D40-C893-41AB-8F05-BBF84D6581BE}"/>
    <cellStyle name="Percent 3 5 3 2" xfId="849" xr:uid="{872CDA24-3134-4F93-A967-7183EB842D8A}"/>
    <cellStyle name="Percent 3 5 4" xfId="662" xr:uid="{5C88A2F1-F5E5-4781-9E29-9E1A91D0326A}"/>
    <cellStyle name="Percent 3 6" xfId="183" xr:uid="{30BCD595-209A-42D1-AE77-97635754E152}"/>
    <cellStyle name="Percent 3 6 2" xfId="184" xr:uid="{52D16F59-B21F-497C-A54A-0B754303A2FB}"/>
    <cellStyle name="Percent 3 6 2 2" xfId="486" xr:uid="{DA5DBD27-0F58-4D14-B4B8-5B4C602E9151}"/>
    <cellStyle name="Percent 3 6 2 2 2" xfId="850" xr:uid="{874C7950-F83D-4014-9B11-5646578ADE78}"/>
    <cellStyle name="Percent 3 6 2 3" xfId="665" xr:uid="{CB2FD874-3B84-4F79-855D-D0B8C029F10D}"/>
    <cellStyle name="Percent 3 6 3" xfId="487" xr:uid="{5373E00B-210F-45C2-A623-0D5513C2C1DB}"/>
    <cellStyle name="Percent 3 6 3 2" xfId="851" xr:uid="{D5244C49-C870-444C-A1F4-51517DB3963C}"/>
    <cellStyle name="Percent 3 6 4" xfId="664" xr:uid="{AE3D2A0B-92C2-4138-9BDF-FA47B46902FE}"/>
    <cellStyle name="Percent 3 7" xfId="185" xr:uid="{87637B77-5CC6-4839-85D6-81F21D105DF5}"/>
    <cellStyle name="Percent 3 7 2" xfId="488" xr:uid="{21BAB90B-40CD-46EB-8127-624FA2C15A39}"/>
    <cellStyle name="Percent 3 7 2 2" xfId="852" xr:uid="{5DE4BE27-F3D9-4A79-BAFD-D60FC081125A}"/>
    <cellStyle name="Percent 3 7 3" xfId="666" xr:uid="{71BD4AAB-2AD8-4741-AB7D-0FC3721B6E1A}"/>
    <cellStyle name="Percent 3 8" xfId="186" xr:uid="{BBC646E5-24DD-42EA-85BA-E5DB5B487C38}"/>
    <cellStyle name="Percent 3 8 2" xfId="489" xr:uid="{5FB557C1-368B-4731-BA56-65329B37D1F8}"/>
    <cellStyle name="Percent 3 8 2 2" xfId="853" xr:uid="{92C9FD08-6561-4484-BADD-BF1CB18A562F}"/>
    <cellStyle name="Percent 3 8 3" xfId="667" xr:uid="{8A884734-7910-4496-96B4-7E3EFBB9C2C6}"/>
    <cellStyle name="Percent 3 9" xfId="187" xr:uid="{1223310C-5BF0-4DC6-88C2-C2AF7CB700E3}"/>
    <cellStyle name="Percent 3 9 2" xfId="490" xr:uid="{48B0A6D3-E9EC-4ED6-A9CA-BCCA17CEC13C}"/>
    <cellStyle name="Percent 3 9 2 2" xfId="854" xr:uid="{78F7CA60-B4B1-4B6E-A35B-3C47D41C97F6}"/>
    <cellStyle name="Percent 3 9 3" xfId="668" xr:uid="{0FA1ED2F-780F-4A5F-8D40-B1F76EBFF32B}"/>
    <cellStyle name="Percent 4" xfId="188" xr:uid="{31BA749D-EFF6-43D1-B754-46EE5CF3ADFD}"/>
    <cellStyle name="Percent 4 10" xfId="491" xr:uid="{F99AC34D-3E61-4682-A786-8D5D104C5EF7}"/>
    <cellStyle name="Percent 4 10 2" xfId="855" xr:uid="{71110C9C-5C1A-4A19-B995-1777132F3949}"/>
    <cellStyle name="Percent 4 11" xfId="492" xr:uid="{34A3CDA6-8078-4EEA-AE7B-8BCDC71FF3D4}"/>
    <cellStyle name="Percent 4 11 2" xfId="856" xr:uid="{3343C696-F27D-4A32-940F-160625E63948}"/>
    <cellStyle name="Percent 4 12" xfId="669" xr:uid="{CA3875B5-1F56-4CD5-BF6A-BB75C3CD0E09}"/>
    <cellStyle name="Percent 4 2" xfId="189" xr:uid="{C8688293-D24F-490B-962B-45604585FE2E}"/>
    <cellStyle name="Percent 4 2 2" xfId="190" xr:uid="{1507127D-97F9-445E-90F4-5AB6561F343E}"/>
    <cellStyle name="Percent 4 2 2 2" xfId="191" xr:uid="{70351603-880C-48C8-8073-173DA79D0C59}"/>
    <cellStyle name="Percent 4 2 2 2 2" xfId="493" xr:uid="{67E875F3-499C-47DD-9712-4D56BF2C3321}"/>
    <cellStyle name="Percent 4 2 2 2 2 2" xfId="857" xr:uid="{FD46F455-5439-456E-9A16-8443885F9A72}"/>
    <cellStyle name="Percent 4 2 2 2 3" xfId="672" xr:uid="{A6F44B04-0AEA-4C6C-9209-5F5C1DC9C7EF}"/>
    <cellStyle name="Percent 4 2 2 3" xfId="494" xr:uid="{81BFABFA-4DA1-459D-BDB2-965D1447047E}"/>
    <cellStyle name="Percent 4 2 2 3 2" xfId="858" xr:uid="{A5009C50-EDB6-4CCD-8153-7998A33E6747}"/>
    <cellStyle name="Percent 4 2 2 4" xfId="671" xr:uid="{F0C59DA5-7D5D-44CC-9885-F7E3EA63E4F4}"/>
    <cellStyle name="Percent 4 2 3" xfId="192" xr:uid="{8D16135F-9C6B-4A2C-9DBC-1B58F22549A0}"/>
    <cellStyle name="Percent 4 2 3 2" xfId="495" xr:uid="{869E3559-A3DC-455F-9932-08A324436D75}"/>
    <cellStyle name="Percent 4 2 3 2 2" xfId="859" xr:uid="{2ED21773-AAA7-4FDD-B1F7-64ED37152EBA}"/>
    <cellStyle name="Percent 4 2 3 3" xfId="673" xr:uid="{4743F35D-1B88-45DF-AABA-0AB3F28F6777}"/>
    <cellStyle name="Percent 4 2 4" xfId="193" xr:uid="{46F69EF3-EB7E-4876-8B1A-9F1F6E274717}"/>
    <cellStyle name="Percent 4 2 4 2" xfId="496" xr:uid="{47FDD69F-1234-42CF-A2AF-DAEC5ED06A06}"/>
    <cellStyle name="Percent 4 2 4 2 2" xfId="860" xr:uid="{7F93B1A6-9BC7-41ED-B7E9-6B548F9B0C8B}"/>
    <cellStyle name="Percent 4 2 4 3" xfId="674" xr:uid="{E02468CD-17CE-4074-B677-F2D833F4CDF7}"/>
    <cellStyle name="Percent 4 2 5" xfId="497" xr:uid="{A60017D1-9EBE-4E26-9DF3-72EDD7B79741}"/>
    <cellStyle name="Percent 4 2 5 2" xfId="861" xr:uid="{B5151ADC-CEB7-491F-ABD5-C8B288DBB278}"/>
    <cellStyle name="Percent 4 2 6" xfId="498" xr:uid="{98D62D89-7C3E-45B8-B6F0-7DB712D0C535}"/>
    <cellStyle name="Percent 4 2 6 2" xfId="862" xr:uid="{727A7333-4A3A-4B82-83AE-FC6F9424EA0E}"/>
    <cellStyle name="Percent 4 2 7" xfId="670" xr:uid="{A041C841-F6ED-406B-A00B-CAC20F5E6CA7}"/>
    <cellStyle name="Percent 4 3" xfId="194" xr:uid="{2A8C78E5-EC35-4D32-A8B5-D9E2D43FF524}"/>
    <cellStyle name="Percent 4 3 2" xfId="195" xr:uid="{50DE6580-E560-4F7A-B94C-46C06D5CB6B4}"/>
    <cellStyle name="Percent 4 3 2 2" xfId="499" xr:uid="{450ABDFB-8746-47FD-AE64-6787B214266F}"/>
    <cellStyle name="Percent 4 3 2 2 2" xfId="863" xr:uid="{0B088404-4FAE-49AD-A622-C3E201E9BC68}"/>
    <cellStyle name="Percent 4 3 2 3" xfId="676" xr:uid="{11376D65-9717-4774-BF38-B84D49354ED4}"/>
    <cellStyle name="Percent 4 3 3" xfId="196" xr:uid="{C0700203-8ED7-45A6-A965-C9B7B450DD18}"/>
    <cellStyle name="Percent 4 3 3 2" xfId="500" xr:uid="{51D21300-387B-4971-82CA-809F4CAE1095}"/>
    <cellStyle name="Percent 4 3 3 2 2" xfId="864" xr:uid="{EA9184CF-CAB9-46E5-9574-BD27030478E7}"/>
    <cellStyle name="Percent 4 3 3 3" xfId="677" xr:uid="{6C71FE8E-9D15-4762-B3EA-A78F4D5F6909}"/>
    <cellStyle name="Percent 4 3 4" xfId="501" xr:uid="{8A611839-059B-426F-A383-C93090C9066D}"/>
    <cellStyle name="Percent 4 3 4 2" xfId="865" xr:uid="{59381C4C-BE01-46C8-9463-10AE6B8B5181}"/>
    <cellStyle name="Percent 4 3 5" xfId="675" xr:uid="{606F8E82-5268-4A0A-ADE9-F021F74E1A11}"/>
    <cellStyle name="Percent 4 4" xfId="197" xr:uid="{1479B15A-325D-4494-AF67-5F6B7A7D1747}"/>
    <cellStyle name="Percent 4 4 2" xfId="198" xr:uid="{50F46140-8BAA-4628-B717-91DE9EB16FD6}"/>
    <cellStyle name="Percent 4 4 2 2" xfId="502" xr:uid="{FE671610-C380-4F08-88B1-4DC805EB0E93}"/>
    <cellStyle name="Percent 4 4 2 2 2" xfId="866" xr:uid="{B7015327-5EEE-4B62-B811-66F036C22388}"/>
    <cellStyle name="Percent 4 4 2 3" xfId="679" xr:uid="{EDD6157D-BB93-4A06-8A0B-EEE61775A09D}"/>
    <cellStyle name="Percent 4 4 3" xfId="503" xr:uid="{116267D6-7D5C-4249-BE41-5DBF3E1B5904}"/>
    <cellStyle name="Percent 4 4 3 2" xfId="867" xr:uid="{600A99A3-69CF-4D24-8DDA-DC3FC1BE860B}"/>
    <cellStyle name="Percent 4 4 4" xfId="678" xr:uid="{6626F91C-B308-4302-B38A-AA812F2DD49E}"/>
    <cellStyle name="Percent 4 5" xfId="199" xr:uid="{D11BC443-1DE8-4944-A8EE-7387FF697E37}"/>
    <cellStyle name="Percent 4 5 2" xfId="200" xr:uid="{1069E1D5-E86D-4671-B70A-8D36EC61C879}"/>
    <cellStyle name="Percent 4 5 2 2" xfId="504" xr:uid="{ACA76733-49B3-4BC0-B940-FE2E90DB3CF6}"/>
    <cellStyle name="Percent 4 5 2 2 2" xfId="868" xr:uid="{1B86323B-8AD1-4D08-8B51-6DC02969D3B7}"/>
    <cellStyle name="Percent 4 5 2 3" xfId="681" xr:uid="{D2A6DEB7-3870-4A69-AA4C-E84888143A8C}"/>
    <cellStyle name="Percent 4 5 3" xfId="505" xr:uid="{AEF8B1B4-0D99-42C0-871B-1138836739E3}"/>
    <cellStyle name="Percent 4 5 3 2" xfId="869" xr:uid="{8B12E3C5-6EDE-4724-97CB-6B8F225B6BA4}"/>
    <cellStyle name="Percent 4 5 4" xfId="680" xr:uid="{FA3978B9-C437-4F2A-A202-4F8643B547DE}"/>
    <cellStyle name="Percent 4 6" xfId="201" xr:uid="{81D6A7DB-65BE-4DFE-9B77-EEDEA7F2291E}"/>
    <cellStyle name="Percent 4 6 2" xfId="202" xr:uid="{923C1EB1-7F45-40D2-B5A1-C86EF586EF84}"/>
    <cellStyle name="Percent 4 6 2 2" xfId="506" xr:uid="{09986227-E15A-4025-8D39-10E726FFA377}"/>
    <cellStyle name="Percent 4 6 2 2 2" xfId="870" xr:uid="{647A57CA-E073-4905-8931-F52C7700A89B}"/>
    <cellStyle name="Percent 4 6 2 3" xfId="683" xr:uid="{582338D2-1E32-4B54-9F5B-E5B6B8B5CEA0}"/>
    <cellStyle name="Percent 4 6 3" xfId="507" xr:uid="{37D57AF5-EC03-423A-B94B-F0F0BB5DBE11}"/>
    <cellStyle name="Percent 4 6 3 2" xfId="871" xr:uid="{6E6DC8C6-DB08-438C-9128-1FEF8E0EA9EF}"/>
    <cellStyle name="Percent 4 6 4" xfId="682" xr:uid="{EE97C6A0-1B77-4D21-9996-314C6520B166}"/>
    <cellStyle name="Percent 4 7" xfId="203" xr:uid="{83AFB3EA-6B2A-4C21-8232-D2D6DFB7AE93}"/>
    <cellStyle name="Percent 4 7 2" xfId="508" xr:uid="{BCC09DF1-2502-4511-9E60-0A95FF170F8D}"/>
    <cellStyle name="Percent 4 7 2 2" xfId="872" xr:uid="{923E75D5-00FB-4765-A395-32E1EBADA4E9}"/>
    <cellStyle name="Percent 4 7 3" xfId="684" xr:uid="{DEA0065C-308E-445D-9411-1BF3C4F9E8E6}"/>
    <cellStyle name="Percent 4 8" xfId="204" xr:uid="{8E5BE2E2-5D13-4D9D-BDC6-292167D9D5AA}"/>
    <cellStyle name="Percent 4 8 2" xfId="509" xr:uid="{B9BC77DC-529E-483C-99B0-FD58DF2FA7D2}"/>
    <cellStyle name="Percent 4 8 2 2" xfId="873" xr:uid="{94911BCF-2D9D-499A-8D8A-C07F41FE70B5}"/>
    <cellStyle name="Percent 4 8 3" xfId="685" xr:uid="{57EBEEDC-54ED-4D15-B973-59E2B70DC48B}"/>
    <cellStyle name="Percent 4 9" xfId="205" xr:uid="{56CDB353-1D90-4E77-8A21-A10AAA7C76D5}"/>
    <cellStyle name="Percent 4 9 2" xfId="510" xr:uid="{5C3809D0-DE77-4FA9-87F5-10BEE48EFA0E}"/>
    <cellStyle name="Percent 4 9 2 2" xfId="874" xr:uid="{FB71376D-4B6D-4096-8EF7-0A853A3388DB}"/>
    <cellStyle name="Percent 4 9 3" xfId="686" xr:uid="{D76644FC-821A-44A0-BE9B-4219297594CE}"/>
    <cellStyle name="Percent 5" xfId="206" xr:uid="{CD40985D-86C3-4B84-9F22-BAB2986E8804}"/>
    <cellStyle name="Percent 5 10" xfId="511" xr:uid="{7D4A527A-32C8-4DE6-91FE-7FAAB0A56B32}"/>
    <cellStyle name="Percent 5 10 2" xfId="875" xr:uid="{F485C988-0DE7-4B43-B42E-9A92C50E1C25}"/>
    <cellStyle name="Percent 5 11" xfId="687" xr:uid="{69E7B23C-AECB-478C-A713-56DB888E1F0A}"/>
    <cellStyle name="Percent 5 2" xfId="207" xr:uid="{4546DCFF-ECDF-4ECB-823B-A780E0EE84C1}"/>
    <cellStyle name="Percent 5 2 2" xfId="208" xr:uid="{9CDF8155-33F7-4CD9-8959-A9C5D6553B8D}"/>
    <cellStyle name="Percent 5 2 2 2" xfId="512" xr:uid="{9523580C-1F59-4A22-B703-A5958256826C}"/>
    <cellStyle name="Percent 5 2 2 2 2" xfId="876" xr:uid="{ACE43DAF-FD8C-4317-8B8B-F970138A2693}"/>
    <cellStyle name="Percent 5 2 2 3" xfId="689" xr:uid="{29C1185A-8109-41B2-A2D3-9C888510C0E2}"/>
    <cellStyle name="Percent 5 2 3" xfId="209" xr:uid="{F3B94974-EBED-4D7E-A195-6381589C1CAD}"/>
    <cellStyle name="Percent 5 2 3 2" xfId="513" xr:uid="{2670F915-1CAA-46DB-B58C-708DC3A18AFF}"/>
    <cellStyle name="Percent 5 2 3 2 2" xfId="877" xr:uid="{AC617B01-86B4-46E4-958E-668FFB81BB63}"/>
    <cellStyle name="Percent 5 2 3 3" xfId="690" xr:uid="{9FB310F3-9D6B-44BC-918C-B30D869D7782}"/>
    <cellStyle name="Percent 5 2 4" xfId="514" xr:uid="{3021E51C-BD2B-456E-9E50-682547573FDD}"/>
    <cellStyle name="Percent 5 2 4 2" xfId="878" xr:uid="{C789AAC4-7B8E-4F1C-8A85-A379C6B77018}"/>
    <cellStyle name="Percent 5 2 5" xfId="688" xr:uid="{81DBE397-9615-45A9-A225-E07083EFED17}"/>
    <cellStyle name="Percent 5 3" xfId="210" xr:uid="{BAA1D8D1-D701-4511-A5F3-11F0BEF3D3C7}"/>
    <cellStyle name="Percent 5 3 2" xfId="211" xr:uid="{DC3DFE07-9AF2-4BE9-9987-B0E8A31B8688}"/>
    <cellStyle name="Percent 5 3 2 2" xfId="515" xr:uid="{97B01BD5-E0D1-4949-99D2-60389F3C138F}"/>
    <cellStyle name="Percent 5 3 2 2 2" xfId="879" xr:uid="{344CF1F9-1D14-45E5-A891-A512F9BBDA31}"/>
    <cellStyle name="Percent 5 3 2 3" xfId="692" xr:uid="{68F524E7-B71D-4A6F-9EE1-93980D753080}"/>
    <cellStyle name="Percent 5 3 3" xfId="516" xr:uid="{260CD14D-CD9E-4ADB-8F73-524910AEC42E}"/>
    <cellStyle name="Percent 5 3 3 2" xfId="880" xr:uid="{3EAB09A4-971E-4802-8F0B-66F7FAD43FD2}"/>
    <cellStyle name="Percent 5 3 4" xfId="691" xr:uid="{128F3F4A-4E00-47CB-AF8D-2ED3C4308FC4}"/>
    <cellStyle name="Percent 5 4" xfId="212" xr:uid="{E366296A-4A6F-489A-80BF-7AA6C27B2F40}"/>
    <cellStyle name="Percent 5 4 2" xfId="213" xr:uid="{3270E9C4-BCE1-4591-B23D-7F67B144288B}"/>
    <cellStyle name="Percent 5 4 2 2" xfId="517" xr:uid="{51215A10-EEF4-45B2-80D3-FAD06571BE75}"/>
    <cellStyle name="Percent 5 4 2 2 2" xfId="881" xr:uid="{88FBF19C-6EC1-40AE-A68F-B1A8E47B1C89}"/>
    <cellStyle name="Percent 5 4 2 3" xfId="694" xr:uid="{9F3DFDC3-5D17-42B9-B3B1-9BDAF4F7A94A}"/>
    <cellStyle name="Percent 5 4 3" xfId="518" xr:uid="{E2B30276-6FB5-49C8-BB1D-3D2316285DC1}"/>
    <cellStyle name="Percent 5 4 3 2" xfId="882" xr:uid="{AD12DBE0-C7D7-4420-94DC-A6FF3C183D82}"/>
    <cellStyle name="Percent 5 4 4" xfId="693" xr:uid="{A2C61A0B-7A47-4C41-A6C7-EFE2FDE26ABB}"/>
    <cellStyle name="Percent 5 5" xfId="214" xr:uid="{983BF4BF-66E6-4A79-A4D8-08A0E06DBC23}"/>
    <cellStyle name="Percent 5 5 2" xfId="215" xr:uid="{C26183F1-0AA0-47BA-89F7-5ACCE292D736}"/>
    <cellStyle name="Percent 5 5 2 2" xfId="519" xr:uid="{D78011A0-F7CB-485D-88B1-68400FDE5833}"/>
    <cellStyle name="Percent 5 5 2 2 2" xfId="883" xr:uid="{BC4DDB43-C9CD-4E3A-9ACE-84774D32884D}"/>
    <cellStyle name="Percent 5 5 2 3" xfId="696" xr:uid="{3E2158BF-9094-4797-921D-E6D6CFA2BDAD}"/>
    <cellStyle name="Percent 5 5 3" xfId="520" xr:uid="{3969B367-CA93-451C-B7B5-7E8D443F228A}"/>
    <cellStyle name="Percent 5 5 3 2" xfId="884" xr:uid="{27CDFF56-16FD-40F1-A10A-74B94B6ED4A8}"/>
    <cellStyle name="Percent 5 5 4" xfId="695" xr:uid="{D24EF938-C0BD-40AB-A781-552A1F319075}"/>
    <cellStyle name="Percent 5 6" xfId="216" xr:uid="{3C65822D-602D-4745-9792-70814908C80F}"/>
    <cellStyle name="Percent 5 6 2" xfId="521" xr:uid="{2A8E1B2D-0227-4C03-8760-7B4C57517E4F}"/>
    <cellStyle name="Percent 5 6 2 2" xfId="885" xr:uid="{87590151-7DDB-425A-9084-2CECC5E76A0E}"/>
    <cellStyle name="Percent 5 6 3" xfId="697" xr:uid="{40666BD6-0A98-4C74-9B3A-EC88C6BB8846}"/>
    <cellStyle name="Percent 5 7" xfId="217" xr:uid="{43445315-53BB-4714-AFDF-8FC94979DD81}"/>
    <cellStyle name="Percent 5 7 2" xfId="522" xr:uid="{6F74ACEA-638E-4B3B-9FE4-7025CA36269F}"/>
    <cellStyle name="Percent 5 7 2 2" xfId="886" xr:uid="{00AD0401-442B-4BBC-B50D-A3B36CD31F67}"/>
    <cellStyle name="Percent 5 7 3" xfId="698" xr:uid="{B3C3683B-09B9-48FD-9EBC-AE3D6BBC26EF}"/>
    <cellStyle name="Percent 5 8" xfId="218" xr:uid="{6E1C5D0F-5D0C-42D5-9DD7-7D554DC1E402}"/>
    <cellStyle name="Percent 5 8 2" xfId="523" xr:uid="{F698172B-935C-4D91-863A-406CF8B4C6F2}"/>
    <cellStyle name="Percent 5 8 2 2" xfId="887" xr:uid="{8BA8F653-FBF1-4633-ACD6-6489C5D5245F}"/>
    <cellStyle name="Percent 5 8 3" xfId="699" xr:uid="{C99B09EF-B048-4FBF-ACA4-6AA9064D563F}"/>
    <cellStyle name="Percent 5 9" xfId="524" xr:uid="{185FEC5B-A156-4785-8D45-588762C6B050}"/>
    <cellStyle name="Percent 5 9 2" xfId="888" xr:uid="{6E274456-C861-4001-B98C-90AEF276A7C4}"/>
    <cellStyle name="Percent 6" xfId="337" xr:uid="{4D741B0E-A4E1-451C-B99E-6E7676B7BC96}"/>
    <cellStyle name="Percent 7" xfId="532" xr:uid="{0A1E0A99-90FA-4B7D-BCC6-453019B7636C}"/>
    <cellStyle name="Percent 9" xfId="338" xr:uid="{7CD9EA82-0D1E-4FF2-AB54-26577C72738B}"/>
    <cellStyle name="Total 2" xfId="339" xr:uid="{01CC5EE8-A9C9-48F1-A894-4CD62C14AD3A}"/>
    <cellStyle name="Warning Text 2" xfId="340" xr:uid="{810DB036-720B-41A6-8E45-9958E89C5843}"/>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204411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77734375" defaultRowHeight="14.4" x14ac:dyDescent="0.3"/>
  <cols>
    <col min="2" max="2" width="34.21875" customWidth="1"/>
    <col min="17" max="17" width="38.44140625" customWidth="1"/>
  </cols>
  <sheetData>
    <row r="10" spans="2:17" x14ac:dyDescent="0.3">
      <c r="B10" s="1227" t="s">
        <v>0</v>
      </c>
      <c r="C10" s="1228"/>
      <c r="D10" s="1228"/>
      <c r="E10" s="1228"/>
      <c r="F10" s="1228"/>
      <c r="G10" s="1228"/>
      <c r="H10" s="1228"/>
      <c r="I10" s="1228"/>
      <c r="J10" s="1228"/>
      <c r="K10" s="1228"/>
      <c r="L10" s="1228"/>
      <c r="M10" s="1228"/>
      <c r="N10" s="1228"/>
      <c r="O10" s="1228"/>
      <c r="P10" s="1228"/>
      <c r="Q10" s="1229"/>
    </row>
    <row r="11" spans="2:17" x14ac:dyDescent="0.3">
      <c r="B11" s="1230"/>
      <c r="C11" s="1231"/>
      <c r="D11" s="1231"/>
      <c r="E11" s="1231"/>
      <c r="F11" s="1231"/>
      <c r="G11" s="1231"/>
      <c r="H11" s="1231"/>
      <c r="I11" s="1231"/>
      <c r="J11" s="1231"/>
      <c r="K11" s="1231"/>
      <c r="L11" s="1231"/>
      <c r="M11" s="1231"/>
      <c r="N11" s="1231"/>
      <c r="O11" s="1231"/>
      <c r="P11" s="1231"/>
      <c r="Q11" s="1232"/>
    </row>
    <row r="12" spans="2:17" x14ac:dyDescent="0.3">
      <c r="B12" s="8" t="s">
        <v>1</v>
      </c>
      <c r="C12" s="5"/>
      <c r="D12" s="5"/>
      <c r="E12" s="5"/>
      <c r="F12" s="5"/>
      <c r="G12" s="5"/>
      <c r="H12" s="5"/>
      <c r="I12" s="5"/>
      <c r="J12" s="5"/>
      <c r="K12" s="5"/>
      <c r="L12" s="5"/>
      <c r="M12" s="5"/>
      <c r="N12" s="5"/>
      <c r="O12" s="5"/>
      <c r="P12" s="5"/>
      <c r="Q12" s="3"/>
    </row>
    <row r="13" spans="2:17" x14ac:dyDescent="0.3">
      <c r="B13" s="7" t="s">
        <v>2</v>
      </c>
      <c r="C13" s="1233" t="s">
        <v>3</v>
      </c>
      <c r="D13" s="1233"/>
      <c r="E13" s="1233"/>
      <c r="F13" s="1233"/>
      <c r="G13" s="1233"/>
      <c r="H13" s="1233"/>
      <c r="I13" s="1233"/>
      <c r="J13" s="1233"/>
      <c r="K13" s="1233"/>
      <c r="L13" s="1233"/>
      <c r="M13" s="1233"/>
      <c r="N13" s="1233"/>
      <c r="O13" s="1233"/>
      <c r="P13" s="1233"/>
      <c r="Q13" s="1234"/>
    </row>
    <row r="14" spans="2:17" x14ac:dyDescent="0.3">
      <c r="B14" s="7" t="s">
        <v>4</v>
      </c>
      <c r="C14" s="4" t="s">
        <v>5</v>
      </c>
      <c r="D14" s="4"/>
      <c r="E14" s="4"/>
      <c r="F14" s="4"/>
      <c r="G14" s="4"/>
      <c r="H14" s="4"/>
      <c r="I14" s="4"/>
      <c r="J14" s="4"/>
      <c r="K14" s="4"/>
      <c r="L14" s="4"/>
      <c r="M14" s="4"/>
      <c r="N14" s="4"/>
      <c r="O14" s="4"/>
      <c r="P14" s="4"/>
      <c r="Q14" s="10"/>
    </row>
    <row r="15" spans="2:17" x14ac:dyDescent="0.3">
      <c r="B15" s="7" t="s">
        <v>6</v>
      </c>
      <c r="C15" s="4" t="s">
        <v>7</v>
      </c>
      <c r="D15" s="4"/>
      <c r="E15" s="4"/>
      <c r="F15" s="4"/>
      <c r="G15" s="4"/>
      <c r="H15" s="4"/>
      <c r="I15" s="4"/>
      <c r="J15" s="4"/>
      <c r="K15" s="4"/>
      <c r="L15" s="4"/>
      <c r="M15" s="4"/>
      <c r="N15" s="4"/>
      <c r="O15" s="4"/>
      <c r="P15" s="4"/>
      <c r="Q15" s="10"/>
    </row>
    <row r="16" spans="2:17" x14ac:dyDescent="0.3">
      <c r="B16" s="7" t="s">
        <v>8</v>
      </c>
      <c r="C16" s="4" t="s">
        <v>887</v>
      </c>
      <c r="D16" s="4"/>
      <c r="E16" s="4"/>
      <c r="F16" s="4"/>
      <c r="G16" s="4"/>
      <c r="H16" s="4"/>
      <c r="I16" s="4"/>
      <c r="J16" s="4"/>
      <c r="K16" s="4"/>
      <c r="L16" s="4"/>
      <c r="M16" s="4"/>
      <c r="N16" s="4"/>
      <c r="O16" s="4"/>
      <c r="P16" s="4"/>
      <c r="Q16" s="10"/>
    </row>
    <row r="17" spans="2:17" x14ac:dyDescent="0.3">
      <c r="B17" s="7" t="s">
        <v>9</v>
      </c>
      <c r="C17" s="4" t="s">
        <v>10</v>
      </c>
      <c r="D17" s="4"/>
      <c r="E17" s="4"/>
      <c r="F17" s="4"/>
      <c r="G17" s="4"/>
      <c r="H17" s="4"/>
      <c r="I17" s="4"/>
      <c r="J17" s="4"/>
      <c r="K17" s="4"/>
      <c r="L17" s="4"/>
      <c r="M17" s="4"/>
      <c r="N17" s="4"/>
      <c r="O17" s="4"/>
      <c r="P17" s="4"/>
      <c r="Q17" s="10"/>
    </row>
    <row r="18" spans="2:17" x14ac:dyDescent="0.3">
      <c r="B18" s="7" t="s">
        <v>888</v>
      </c>
      <c r="C18" s="4" t="s">
        <v>11</v>
      </c>
      <c r="D18" s="4"/>
      <c r="E18" s="4"/>
      <c r="F18" s="4"/>
      <c r="G18" s="4"/>
      <c r="H18" s="4"/>
      <c r="I18" s="4"/>
      <c r="J18" s="4"/>
      <c r="K18" s="4"/>
      <c r="L18" s="4"/>
      <c r="M18" s="4"/>
      <c r="N18" s="4"/>
      <c r="O18" s="4"/>
      <c r="P18" s="4"/>
      <c r="Q18" s="10"/>
    </row>
    <row r="19" spans="2:17" x14ac:dyDescent="0.3">
      <c r="B19" s="7" t="s">
        <v>12</v>
      </c>
      <c r="C19" s="4" t="s">
        <v>889</v>
      </c>
      <c r="D19" s="4"/>
      <c r="E19" s="4"/>
      <c r="F19" s="4"/>
      <c r="G19" s="4"/>
      <c r="H19" s="4"/>
      <c r="I19" s="4"/>
      <c r="J19" s="4"/>
      <c r="K19" s="4"/>
      <c r="L19" s="4"/>
      <c r="M19" s="4"/>
      <c r="N19" s="4"/>
      <c r="O19" s="4"/>
      <c r="P19" s="4"/>
      <c r="Q19" s="10"/>
    </row>
    <row r="20" spans="2:17" ht="30.75" customHeight="1" x14ac:dyDescent="0.3">
      <c r="B20" s="7" t="s">
        <v>13</v>
      </c>
      <c r="C20" s="1225" t="s">
        <v>14</v>
      </c>
      <c r="D20" s="1225"/>
      <c r="E20" s="1225"/>
      <c r="F20" s="1225"/>
      <c r="G20" s="1225"/>
      <c r="H20" s="1225"/>
      <c r="I20" s="1225"/>
      <c r="J20" s="1225"/>
      <c r="K20" s="1225"/>
      <c r="L20" s="1225"/>
      <c r="M20" s="1225"/>
      <c r="N20" s="1225"/>
      <c r="O20" s="1225"/>
      <c r="P20" s="1225"/>
      <c r="Q20" s="1226"/>
    </row>
    <row r="21" spans="2:17" x14ac:dyDescent="0.3">
      <c r="B21" s="7" t="s">
        <v>15</v>
      </c>
      <c r="C21" s="4" t="s">
        <v>16</v>
      </c>
      <c r="D21" s="4"/>
      <c r="E21" s="4"/>
      <c r="F21" s="4"/>
      <c r="G21" s="4"/>
      <c r="H21" s="4"/>
      <c r="I21" s="4"/>
      <c r="J21" s="4"/>
      <c r="K21" s="4"/>
      <c r="L21" s="4"/>
      <c r="M21" s="4"/>
      <c r="N21" s="4"/>
      <c r="O21" s="4"/>
      <c r="P21" s="4"/>
      <c r="Q21" s="10"/>
    </row>
    <row r="22" spans="2:17" ht="32.25" customHeight="1" x14ac:dyDescent="0.3">
      <c r="B22" s="1" t="s">
        <v>891</v>
      </c>
      <c r="C22" s="1225" t="s">
        <v>890</v>
      </c>
      <c r="D22" s="1225"/>
      <c r="E22" s="1225"/>
      <c r="F22" s="1225"/>
      <c r="G22" s="1225"/>
      <c r="H22" s="1225"/>
      <c r="I22" s="1225"/>
      <c r="J22" s="1225"/>
      <c r="K22" s="1225"/>
      <c r="L22" s="1225"/>
      <c r="M22" s="1225"/>
      <c r="N22" s="1225"/>
      <c r="O22" s="1225"/>
      <c r="P22" s="1225"/>
      <c r="Q22" s="1226"/>
    </row>
    <row r="23" spans="2:17" ht="31.35" customHeight="1" x14ac:dyDescent="0.3">
      <c r="B23" s="7" t="s">
        <v>17</v>
      </c>
      <c r="C23" s="1225" t="s">
        <v>892</v>
      </c>
      <c r="D23" s="1225"/>
      <c r="E23" s="1225"/>
      <c r="F23" s="1225"/>
      <c r="G23" s="1225"/>
      <c r="H23" s="1225"/>
      <c r="I23" s="1225"/>
      <c r="J23" s="1225"/>
      <c r="K23" s="1225"/>
      <c r="L23" s="1225"/>
      <c r="M23" s="1225"/>
      <c r="N23" s="1225"/>
      <c r="O23" s="1225"/>
      <c r="P23" s="1225"/>
      <c r="Q23" s="1226"/>
    </row>
    <row r="24" spans="2:17" x14ac:dyDescent="0.3">
      <c r="B24" s="7" t="s">
        <v>18</v>
      </c>
      <c r="C24" s="4" t="s">
        <v>19</v>
      </c>
      <c r="D24" s="4"/>
      <c r="E24" s="4"/>
      <c r="F24" s="4"/>
      <c r="G24" s="4"/>
      <c r="H24" s="4"/>
      <c r="I24" s="4"/>
      <c r="J24" s="4"/>
      <c r="K24" s="4"/>
      <c r="L24" s="4"/>
      <c r="M24" s="4"/>
      <c r="N24" s="4"/>
      <c r="O24" s="4"/>
      <c r="P24" s="4"/>
      <c r="Q24" s="10"/>
    </row>
    <row r="25" spans="2:17" x14ac:dyDescent="0.3">
      <c r="B25" s="7" t="s">
        <v>20</v>
      </c>
      <c r="C25" s="4" t="s">
        <v>21</v>
      </c>
      <c r="D25" s="4"/>
      <c r="E25" s="4"/>
      <c r="F25" s="4"/>
      <c r="G25" s="4"/>
      <c r="H25" s="4"/>
      <c r="I25" s="4"/>
      <c r="J25" s="4"/>
      <c r="K25" s="4"/>
      <c r="L25" s="4"/>
      <c r="M25" s="4"/>
      <c r="N25" s="4"/>
      <c r="O25" s="4"/>
      <c r="P25" s="4"/>
      <c r="Q25" s="10"/>
    </row>
    <row r="26" spans="2:17" x14ac:dyDescent="0.3">
      <c r="B26" s="7" t="s">
        <v>22</v>
      </c>
      <c r="C26" s="4" t="s">
        <v>23</v>
      </c>
      <c r="D26" s="4"/>
      <c r="E26" s="4"/>
      <c r="F26" s="4"/>
      <c r="G26" s="4"/>
      <c r="H26" s="4"/>
      <c r="I26" s="4"/>
      <c r="J26" s="4"/>
      <c r="K26" s="4"/>
      <c r="L26" s="4"/>
      <c r="M26" s="4"/>
      <c r="N26" s="4"/>
      <c r="O26" s="4"/>
      <c r="P26" s="4"/>
      <c r="Q26" s="10"/>
    </row>
    <row r="27" spans="2:17" x14ac:dyDescent="0.3">
      <c r="B27" s="7" t="s">
        <v>24</v>
      </c>
      <c r="C27" s="4" t="s">
        <v>893</v>
      </c>
      <c r="D27" s="4"/>
      <c r="E27" s="4"/>
      <c r="F27" s="4"/>
      <c r="G27" s="4"/>
      <c r="H27" s="4"/>
      <c r="I27" s="4"/>
      <c r="J27" s="4"/>
      <c r="K27" s="4"/>
      <c r="L27" s="4"/>
      <c r="M27" s="4"/>
      <c r="N27" s="4"/>
      <c r="O27" s="4"/>
      <c r="P27" s="4"/>
      <c r="Q27" s="10"/>
    </row>
    <row r="28" spans="2:17" x14ac:dyDescent="0.3">
      <c r="B28" s="7" t="s">
        <v>25</v>
      </c>
      <c r="C28" s="4" t="s">
        <v>894</v>
      </c>
      <c r="D28" s="4"/>
      <c r="E28" s="4"/>
      <c r="F28" s="4"/>
      <c r="G28" s="4"/>
      <c r="H28" s="4"/>
      <c r="I28" s="4"/>
      <c r="J28" s="4"/>
      <c r="K28" s="4"/>
      <c r="L28" s="4"/>
      <c r="M28" s="4"/>
      <c r="N28" s="4"/>
      <c r="O28" s="4"/>
      <c r="P28" s="4"/>
      <c r="Q28" s="10"/>
    </row>
    <row r="29" spans="2:17" x14ac:dyDescent="0.3">
      <c r="B29" s="7" t="s">
        <v>26</v>
      </c>
      <c r="C29" s="4" t="s">
        <v>27</v>
      </c>
      <c r="D29" s="4"/>
      <c r="E29" s="4"/>
      <c r="F29" s="4"/>
      <c r="G29" s="4"/>
      <c r="H29" s="4"/>
      <c r="I29" s="4"/>
      <c r="J29" s="4"/>
      <c r="K29" s="4"/>
      <c r="L29" s="4"/>
      <c r="M29" s="4"/>
      <c r="N29" s="4"/>
      <c r="O29" s="4"/>
      <c r="P29" s="4"/>
      <c r="Q29" s="10"/>
    </row>
    <row r="30" spans="2:17" x14ac:dyDescent="0.3">
      <c r="B30" s="7"/>
      <c r="C30" s="4"/>
      <c r="D30" s="4"/>
      <c r="E30" s="4"/>
      <c r="F30" s="4"/>
      <c r="G30" s="4"/>
      <c r="H30" s="4"/>
      <c r="I30" s="4"/>
      <c r="J30" s="4"/>
      <c r="K30" s="4"/>
      <c r="L30" s="4"/>
      <c r="M30" s="4"/>
      <c r="N30" s="4"/>
      <c r="O30" s="4"/>
      <c r="P30" s="4"/>
      <c r="Q30" s="10"/>
    </row>
    <row r="31" spans="2:17" x14ac:dyDescent="0.3">
      <c r="B31" s="9" t="s">
        <v>28</v>
      </c>
      <c r="C31" s="4"/>
      <c r="D31" s="4"/>
      <c r="E31" s="4"/>
      <c r="F31" s="4"/>
      <c r="G31" s="4"/>
      <c r="H31" s="4"/>
      <c r="I31" s="4"/>
      <c r="J31" s="4"/>
      <c r="K31" s="4"/>
      <c r="L31" s="4"/>
      <c r="M31" s="4"/>
      <c r="N31" s="4"/>
      <c r="O31" s="4"/>
      <c r="P31" s="4"/>
      <c r="Q31" s="10"/>
    </row>
    <row r="32" spans="2:17" x14ac:dyDescent="0.3">
      <c r="B32" s="7" t="s">
        <v>29</v>
      </c>
      <c r="C32" s="4"/>
      <c r="D32" s="4"/>
      <c r="E32" s="4"/>
      <c r="F32" s="4"/>
      <c r="G32" s="4"/>
      <c r="H32" s="4"/>
      <c r="I32" s="4"/>
      <c r="J32" s="4"/>
      <c r="K32" s="4"/>
      <c r="L32" s="4"/>
      <c r="M32" s="4"/>
      <c r="N32" s="4"/>
      <c r="O32" s="4"/>
      <c r="P32" s="4"/>
      <c r="Q32" s="10"/>
    </row>
    <row r="33" spans="2:17" ht="30.75" customHeight="1" x14ac:dyDescent="0.3">
      <c r="B33" s="1224" t="s">
        <v>895</v>
      </c>
      <c r="C33" s="1225"/>
      <c r="D33" s="1225"/>
      <c r="E33" s="1225"/>
      <c r="F33" s="1225"/>
      <c r="G33" s="1225"/>
      <c r="H33" s="1225"/>
      <c r="I33" s="1225"/>
      <c r="J33" s="1225"/>
      <c r="K33" s="1225"/>
      <c r="L33" s="1225"/>
      <c r="M33" s="1225"/>
      <c r="N33" s="1225"/>
      <c r="O33" s="1225"/>
      <c r="P33" s="1225"/>
      <c r="Q33" s="1226"/>
    </row>
    <row r="34" spans="2:17" x14ac:dyDescent="0.3">
      <c r="B34" s="13" t="s">
        <v>30</v>
      </c>
      <c r="C34" s="4"/>
      <c r="D34" s="4"/>
      <c r="E34" s="4"/>
      <c r="F34" s="4"/>
      <c r="G34" s="4"/>
      <c r="H34" s="4"/>
      <c r="I34" s="4"/>
      <c r="J34" s="4"/>
      <c r="K34" s="4"/>
      <c r="L34" s="4"/>
      <c r="M34" s="4"/>
      <c r="N34" s="4"/>
      <c r="O34" s="4"/>
      <c r="P34" s="4"/>
      <c r="Q34" s="10"/>
    </row>
    <row r="35" spans="2:17" x14ac:dyDescent="0.3">
      <c r="B35" s="7" t="s">
        <v>31</v>
      </c>
      <c r="C35" s="4"/>
      <c r="D35" s="4"/>
      <c r="E35" s="4"/>
      <c r="F35" s="4"/>
      <c r="G35" s="4"/>
      <c r="H35" s="4"/>
      <c r="I35" s="4"/>
      <c r="J35" s="4"/>
      <c r="K35" s="4"/>
      <c r="L35" s="4"/>
      <c r="M35" s="4"/>
      <c r="N35" s="4"/>
      <c r="O35" s="4"/>
      <c r="P35" s="4"/>
      <c r="Q35" s="10"/>
    </row>
    <row r="36" spans="2:17" x14ac:dyDescent="0.3">
      <c r="B36" s="6" t="s">
        <v>32</v>
      </c>
      <c r="C36" s="11"/>
      <c r="D36" s="11"/>
      <c r="E36" s="11"/>
      <c r="F36" s="11"/>
      <c r="G36" s="11"/>
      <c r="H36" s="11"/>
      <c r="I36" s="11"/>
      <c r="J36" s="11"/>
      <c r="K36" s="11"/>
      <c r="L36" s="11"/>
      <c r="M36" s="11"/>
      <c r="N36" s="11"/>
      <c r="O36" s="11"/>
      <c r="P36" s="11"/>
      <c r="Q36" s="12"/>
    </row>
    <row r="39" spans="2:17" x14ac:dyDescent="0.3">
      <c r="B39" s="2"/>
      <c r="C39" s="2"/>
      <c r="D39" s="2"/>
      <c r="E39" s="2"/>
      <c r="F39" s="2"/>
      <c r="G39" s="2"/>
      <c r="H39" s="2"/>
      <c r="I39" s="2"/>
      <c r="J39" s="2"/>
      <c r="K39" s="2"/>
      <c r="L39" s="2"/>
      <c r="M39" s="2"/>
      <c r="N39" s="2"/>
      <c r="O39" s="2"/>
      <c r="P39" s="2"/>
      <c r="Q39" s="2"/>
    </row>
    <row r="40" spans="2:17" x14ac:dyDescent="0.3">
      <c r="B40" s="2"/>
      <c r="C40" s="2"/>
      <c r="D40" s="2"/>
      <c r="E40" s="2"/>
      <c r="F40" s="2"/>
      <c r="G40" s="2"/>
      <c r="H40" s="2"/>
      <c r="I40" s="2"/>
      <c r="J40" s="2"/>
      <c r="K40" s="2"/>
      <c r="L40" s="2"/>
      <c r="M40" s="2"/>
      <c r="N40" s="2"/>
      <c r="O40" s="2"/>
      <c r="P40" s="2"/>
      <c r="Q40" s="2"/>
    </row>
    <row r="41" spans="2:17" x14ac:dyDescent="0.3">
      <c r="B41" s="2"/>
      <c r="C41" s="2"/>
      <c r="D41" s="2"/>
      <c r="E41" s="2"/>
      <c r="F41" s="2"/>
      <c r="G41" s="2"/>
      <c r="H41" s="2"/>
      <c r="I41" s="2"/>
      <c r="J41" s="2"/>
      <c r="K41" s="2"/>
      <c r="L41" s="2"/>
      <c r="M41" s="2"/>
      <c r="N41" s="2"/>
      <c r="O41" s="2"/>
      <c r="P41" s="2"/>
      <c r="Q41" s="2"/>
    </row>
    <row r="42" spans="2:17" x14ac:dyDescent="0.3">
      <c r="B42" s="2"/>
      <c r="C42" s="2"/>
      <c r="D42" s="2"/>
      <c r="E42" s="2"/>
      <c r="F42" s="2"/>
      <c r="G42" s="2"/>
      <c r="H42" s="2"/>
      <c r="I42" s="2"/>
      <c r="J42" s="2"/>
      <c r="K42" s="2"/>
      <c r="L42" s="2"/>
      <c r="M42" s="2"/>
      <c r="N42" s="2"/>
      <c r="O42" s="2"/>
      <c r="P42" s="2"/>
      <c r="Q42" s="2"/>
    </row>
    <row r="43" spans="2:17" x14ac:dyDescent="0.3">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C1" workbookViewId="0">
      <selection activeCell="O48" sqref="O48"/>
    </sheetView>
  </sheetViews>
  <sheetFormatPr defaultColWidth="10.77734375" defaultRowHeight="14.4" x14ac:dyDescent="0.3"/>
  <cols>
    <col min="1" max="1" width="6.5546875" customWidth="1"/>
    <col min="2" max="2" width="65" customWidth="1"/>
    <col min="3" max="14" width="11.5546875" customWidth="1"/>
    <col min="15" max="15" width="18.21875" customWidth="1"/>
  </cols>
  <sheetData>
    <row r="2" spans="1:19" x14ac:dyDescent="0.3">
      <c r="A2" s="1253" t="s">
        <v>968</v>
      </c>
      <c r="B2" s="1253"/>
      <c r="C2" s="1253"/>
      <c r="D2" s="1253"/>
      <c r="E2" s="1253"/>
      <c r="F2" s="1253"/>
      <c r="G2" s="1253"/>
      <c r="H2" s="1253"/>
      <c r="I2" s="1253"/>
      <c r="J2" s="1253"/>
      <c r="K2" s="1253"/>
      <c r="L2" s="1253"/>
      <c r="M2" s="1253"/>
      <c r="N2" s="1253"/>
      <c r="O2" s="1253"/>
      <c r="P2" s="1253"/>
      <c r="Q2" s="1253"/>
      <c r="R2" s="1253"/>
      <c r="S2" s="1253"/>
    </row>
    <row r="3" spans="1:19" x14ac:dyDescent="0.3">
      <c r="A3" s="1253" t="s">
        <v>942</v>
      </c>
      <c r="B3" s="1253"/>
      <c r="C3" s="1253"/>
      <c r="D3" s="1253"/>
      <c r="E3" s="1253"/>
      <c r="F3" s="1253"/>
      <c r="G3" s="1253"/>
      <c r="H3" s="1253"/>
      <c r="I3" s="1253"/>
      <c r="J3" s="1253"/>
      <c r="K3" s="1253"/>
      <c r="L3" s="1253"/>
      <c r="M3" s="1253"/>
      <c r="N3" s="1253"/>
      <c r="O3" s="1253"/>
      <c r="P3" s="1253"/>
      <c r="Q3" s="1253"/>
      <c r="R3" s="1253"/>
      <c r="S3" s="1253"/>
    </row>
    <row r="4" spans="1:19" ht="15" customHeight="1" x14ac:dyDescent="0.3">
      <c r="A4" s="1254"/>
      <c r="B4" s="1254"/>
      <c r="C4" s="1254"/>
      <c r="D4" s="98"/>
      <c r="E4" s="98"/>
      <c r="F4" s="98"/>
      <c r="G4" s="98"/>
      <c r="H4" s="98"/>
      <c r="I4" s="98"/>
      <c r="J4" s="98"/>
      <c r="K4" s="98"/>
      <c r="L4" s="98"/>
      <c r="M4" s="98"/>
      <c r="N4" s="98"/>
    </row>
    <row r="5" spans="1:19" x14ac:dyDescent="0.3">
      <c r="A5" s="85"/>
      <c r="B5" s="111"/>
      <c r="C5" s="1255"/>
      <c r="D5" s="1255"/>
      <c r="E5" s="1255"/>
      <c r="F5" s="1255"/>
      <c r="G5" s="1255"/>
      <c r="H5" s="35"/>
      <c r="I5" s="35"/>
      <c r="J5" s="35"/>
      <c r="K5" s="35"/>
      <c r="L5" s="35"/>
      <c r="M5" s="35"/>
      <c r="N5" s="35"/>
      <c r="O5" s="35"/>
    </row>
    <row r="6" spans="1:19" x14ac:dyDescent="0.3">
      <c r="A6" s="94" t="s">
        <v>869</v>
      </c>
      <c r="B6" s="122"/>
      <c r="C6" s="1256"/>
      <c r="D6" s="1257"/>
      <c r="E6" s="130">
        <v>2022</v>
      </c>
      <c r="F6" s="99"/>
      <c r="G6" s="99"/>
      <c r="H6" s="100"/>
      <c r="I6" s="94"/>
      <c r="J6" s="94"/>
      <c r="K6" s="94"/>
      <c r="L6" s="94"/>
      <c r="M6" s="94"/>
      <c r="N6" s="94"/>
      <c r="O6" s="86"/>
    </row>
    <row r="7" spans="1:19" ht="15" customHeight="1" x14ac:dyDescent="0.3">
      <c r="A7" s="128"/>
      <c r="B7" s="131"/>
      <c r="C7" s="95" t="s">
        <v>234</v>
      </c>
      <c r="D7" s="96" t="s">
        <v>235</v>
      </c>
      <c r="E7" s="96" t="s">
        <v>236</v>
      </c>
      <c r="F7" s="96" t="s">
        <v>237</v>
      </c>
      <c r="G7" s="96" t="s">
        <v>987</v>
      </c>
      <c r="H7" s="96" t="s">
        <v>999</v>
      </c>
      <c r="I7" s="95" t="s">
        <v>1259</v>
      </c>
      <c r="J7" s="96" t="s">
        <v>1465</v>
      </c>
      <c r="K7" s="96" t="s">
        <v>1878</v>
      </c>
      <c r="L7" s="96" t="s">
        <v>1519</v>
      </c>
      <c r="M7" s="96" t="s">
        <v>1827</v>
      </c>
      <c r="N7" s="97" t="s">
        <v>1879</v>
      </c>
      <c r="O7" s="87" t="s">
        <v>1881</v>
      </c>
    </row>
    <row r="8" spans="1:19" x14ac:dyDescent="0.3">
      <c r="A8" s="132">
        <v>1</v>
      </c>
      <c r="B8" s="141" t="s">
        <v>239</v>
      </c>
      <c r="C8" s="143">
        <v>21205.7</v>
      </c>
      <c r="D8" s="146">
        <v>21319.5</v>
      </c>
      <c r="E8" s="146">
        <v>21434.3</v>
      </c>
      <c r="F8" s="143">
        <v>21503.599999999999</v>
      </c>
      <c r="G8" s="146">
        <v>21624.3</v>
      </c>
      <c r="H8" s="146">
        <v>21687</v>
      </c>
      <c r="I8" s="101">
        <v>21781.7</v>
      </c>
      <c r="J8" s="102">
        <v>21859.9</v>
      </c>
      <c r="K8" s="103">
        <v>21942.6</v>
      </c>
      <c r="L8" s="102">
        <v>22118.2</v>
      </c>
      <c r="M8" s="103">
        <v>22174.799999999999</v>
      </c>
      <c r="N8" s="104">
        <v>22224.3</v>
      </c>
      <c r="O8" s="88"/>
    </row>
    <row r="9" spans="1:19" x14ac:dyDescent="0.3">
      <c r="A9" s="74">
        <v>2</v>
      </c>
      <c r="B9" s="142" t="s">
        <v>240</v>
      </c>
      <c r="C9" s="144">
        <v>13174.5</v>
      </c>
      <c r="D9" s="147">
        <v>13269.4</v>
      </c>
      <c r="E9" s="147">
        <v>13335.3</v>
      </c>
      <c r="F9" s="144">
        <v>13396.5</v>
      </c>
      <c r="G9" s="147">
        <v>13471.4</v>
      </c>
      <c r="H9" s="147">
        <v>13468.8</v>
      </c>
      <c r="I9" s="105">
        <v>13573.8</v>
      </c>
      <c r="J9" s="106">
        <v>13623</v>
      </c>
      <c r="K9" s="107">
        <v>13699.4</v>
      </c>
      <c r="L9" s="106">
        <v>13754.3</v>
      </c>
      <c r="M9" s="107">
        <v>13798.9</v>
      </c>
      <c r="N9" s="108">
        <v>13834.9</v>
      </c>
      <c r="O9" s="88"/>
    </row>
    <row r="10" spans="1:19" x14ac:dyDescent="0.3">
      <c r="A10" s="133">
        <v>3</v>
      </c>
      <c r="B10" s="145" t="s">
        <v>241</v>
      </c>
      <c r="C10" s="109">
        <v>10851.2</v>
      </c>
      <c r="D10" s="112">
        <v>10933.6</v>
      </c>
      <c r="E10" s="112">
        <v>10991.7</v>
      </c>
      <c r="F10" s="109">
        <v>11045</v>
      </c>
      <c r="G10" s="112">
        <v>11110.6</v>
      </c>
      <c r="H10" s="112">
        <v>11104</v>
      </c>
      <c r="I10" s="109">
        <v>11196.6</v>
      </c>
      <c r="J10" s="110">
        <v>11237.1</v>
      </c>
      <c r="K10" s="112">
        <v>11303.8</v>
      </c>
      <c r="L10" s="110">
        <v>11350.3</v>
      </c>
      <c r="M10" s="112">
        <v>11386.9</v>
      </c>
      <c r="N10" s="113">
        <v>11415.8</v>
      </c>
      <c r="O10" s="88"/>
    </row>
    <row r="11" spans="1:19" x14ac:dyDescent="0.3">
      <c r="A11" s="35">
        <v>4</v>
      </c>
      <c r="B11" s="152" t="s">
        <v>242</v>
      </c>
      <c r="C11" s="114">
        <v>9268.7999999999993</v>
      </c>
      <c r="D11" s="116">
        <v>9345.6</v>
      </c>
      <c r="E11" s="116">
        <v>9398.7999999999993</v>
      </c>
      <c r="F11" s="114">
        <v>9449.9</v>
      </c>
      <c r="G11" s="116">
        <v>9508.5</v>
      </c>
      <c r="H11" s="116">
        <v>9500.1</v>
      </c>
      <c r="I11" s="114">
        <v>9581.2000000000007</v>
      </c>
      <c r="J11" s="115">
        <v>9612.2999999999993</v>
      </c>
      <c r="K11" s="116">
        <v>9672.7000000000007</v>
      </c>
      <c r="L11" s="115">
        <v>9714.9</v>
      </c>
      <c r="M11" s="116">
        <v>9745.4</v>
      </c>
      <c r="N11" s="117">
        <v>9771</v>
      </c>
      <c r="O11" s="88"/>
    </row>
    <row r="12" spans="1:19" x14ac:dyDescent="0.3">
      <c r="A12" s="133">
        <v>5</v>
      </c>
      <c r="B12" s="145" t="s">
        <v>243</v>
      </c>
      <c r="C12" s="109">
        <v>1582.4</v>
      </c>
      <c r="D12" s="112">
        <v>1588</v>
      </c>
      <c r="E12" s="112">
        <v>1592.8</v>
      </c>
      <c r="F12" s="109">
        <v>1595.1</v>
      </c>
      <c r="G12" s="112">
        <v>1602.1</v>
      </c>
      <c r="H12" s="112">
        <v>1603.9</v>
      </c>
      <c r="I12" s="109">
        <v>1615.4</v>
      </c>
      <c r="J12" s="110">
        <v>1624.8</v>
      </c>
      <c r="K12" s="112">
        <v>1631.1</v>
      </c>
      <c r="L12" s="110">
        <v>1635.4</v>
      </c>
      <c r="M12" s="112">
        <v>1641.4</v>
      </c>
      <c r="N12" s="113">
        <v>1644.8</v>
      </c>
      <c r="O12" s="88"/>
    </row>
    <row r="13" spans="1:19" x14ac:dyDescent="0.3">
      <c r="A13" s="35">
        <v>6</v>
      </c>
      <c r="B13" s="152" t="s">
        <v>244</v>
      </c>
      <c r="C13" s="114">
        <v>2323.3000000000002</v>
      </c>
      <c r="D13" s="116">
        <v>2335.6999999999998</v>
      </c>
      <c r="E13" s="116">
        <v>2343.6</v>
      </c>
      <c r="F13" s="114">
        <v>2351.5</v>
      </c>
      <c r="G13" s="116">
        <v>2360.8000000000002</v>
      </c>
      <c r="H13" s="116">
        <v>2364.8000000000002</v>
      </c>
      <c r="I13" s="114">
        <v>2377.3000000000002</v>
      </c>
      <c r="J13" s="115">
        <v>2385.9</v>
      </c>
      <c r="K13" s="116">
        <v>2395.6999999999998</v>
      </c>
      <c r="L13" s="115">
        <v>2404</v>
      </c>
      <c r="M13" s="116">
        <v>2412</v>
      </c>
      <c r="N13" s="117">
        <v>2419.1</v>
      </c>
      <c r="O13" s="88"/>
    </row>
    <row r="14" spans="1:19" x14ac:dyDescent="0.3">
      <c r="A14" s="132">
        <v>7</v>
      </c>
      <c r="B14" s="76" t="s">
        <v>245</v>
      </c>
      <c r="C14" s="148">
        <v>1780.7</v>
      </c>
      <c r="D14" s="149">
        <v>1808.6</v>
      </c>
      <c r="E14" s="149">
        <v>1844.9</v>
      </c>
      <c r="F14" s="148">
        <v>1827.2</v>
      </c>
      <c r="G14" s="149">
        <v>1836.2</v>
      </c>
      <c r="H14" s="149">
        <v>1842.6</v>
      </c>
      <c r="I14" s="118">
        <v>1846.5</v>
      </c>
      <c r="J14" s="119">
        <v>1869.7</v>
      </c>
      <c r="K14" s="120">
        <v>1874.4</v>
      </c>
      <c r="L14" s="119">
        <v>1870.6</v>
      </c>
      <c r="M14" s="120">
        <v>1868.8</v>
      </c>
      <c r="N14" s="121">
        <v>1875.2</v>
      </c>
      <c r="O14" s="88"/>
    </row>
    <row r="15" spans="1:19" x14ac:dyDescent="0.3">
      <c r="A15" s="35">
        <v>8</v>
      </c>
      <c r="B15" s="152" t="s">
        <v>246</v>
      </c>
      <c r="C15" s="114">
        <v>51.2</v>
      </c>
      <c r="D15" s="116">
        <v>71.099999999999994</v>
      </c>
      <c r="E15" s="116">
        <v>100.9</v>
      </c>
      <c r="F15" s="114">
        <v>97.7</v>
      </c>
      <c r="G15" s="116">
        <v>95.7</v>
      </c>
      <c r="H15" s="116">
        <v>93.7</v>
      </c>
      <c r="I15" s="114">
        <v>94.8</v>
      </c>
      <c r="J15" s="115">
        <v>95.9</v>
      </c>
      <c r="K15" s="116">
        <v>97.1</v>
      </c>
      <c r="L15" s="115">
        <v>93.9</v>
      </c>
      <c r="M15" s="116">
        <v>90.8</v>
      </c>
      <c r="N15" s="117">
        <v>87.7</v>
      </c>
      <c r="O15" s="88"/>
    </row>
    <row r="16" spans="1:19" x14ac:dyDescent="0.3">
      <c r="A16" s="133"/>
      <c r="B16" s="77" t="s">
        <v>249</v>
      </c>
      <c r="C16" s="109" t="s">
        <v>1466</v>
      </c>
      <c r="D16" s="112"/>
      <c r="E16" s="112"/>
      <c r="F16" s="109" t="s">
        <v>1515</v>
      </c>
      <c r="G16" s="112"/>
      <c r="H16" s="112"/>
      <c r="I16" s="109" t="s">
        <v>1880</v>
      </c>
      <c r="J16" s="110" t="s">
        <v>1880</v>
      </c>
      <c r="K16" s="112" t="s">
        <v>1880</v>
      </c>
      <c r="L16" s="110" t="s">
        <v>1880</v>
      </c>
      <c r="M16" s="112" t="s">
        <v>1880</v>
      </c>
      <c r="N16" s="113" t="s">
        <v>1880</v>
      </c>
      <c r="O16" s="88"/>
    </row>
    <row r="17" spans="1:17" ht="16.350000000000001" customHeight="1" x14ac:dyDescent="0.3">
      <c r="A17" s="133">
        <v>9</v>
      </c>
      <c r="B17" s="145" t="s">
        <v>958</v>
      </c>
      <c r="C17" s="109">
        <v>0.3</v>
      </c>
      <c r="D17" s="112">
        <v>0.2</v>
      </c>
      <c r="E17" s="112">
        <v>1.3</v>
      </c>
      <c r="F17" s="109">
        <v>0</v>
      </c>
      <c r="G17" s="112">
        <v>0</v>
      </c>
      <c r="H17" s="112">
        <v>0</v>
      </c>
      <c r="I17" s="109">
        <v>0</v>
      </c>
      <c r="J17" s="110">
        <v>0</v>
      </c>
      <c r="K17" s="112">
        <v>0</v>
      </c>
      <c r="L17" s="110">
        <v>0</v>
      </c>
      <c r="M17" s="112">
        <v>0</v>
      </c>
      <c r="N17" s="113">
        <v>0</v>
      </c>
      <c r="O17" s="88"/>
    </row>
    <row r="18" spans="1:17" ht="16.350000000000001" customHeight="1" x14ac:dyDescent="0.3">
      <c r="A18" s="135">
        <v>10</v>
      </c>
      <c r="B18" s="138" t="s">
        <v>959</v>
      </c>
      <c r="C18" s="114">
        <v>0</v>
      </c>
      <c r="D18" s="116">
        <v>0</v>
      </c>
      <c r="E18" s="116">
        <v>0</v>
      </c>
      <c r="F18" s="114">
        <v>0</v>
      </c>
      <c r="G18" s="116">
        <v>0</v>
      </c>
      <c r="H18" s="116">
        <v>0</v>
      </c>
      <c r="I18" s="114">
        <v>0</v>
      </c>
      <c r="J18" s="115">
        <v>0</v>
      </c>
      <c r="K18" s="116">
        <v>0</v>
      </c>
      <c r="L18" s="115">
        <v>0</v>
      </c>
      <c r="M18" s="116">
        <v>0</v>
      </c>
      <c r="N18" s="117">
        <v>0</v>
      </c>
      <c r="O18" s="89"/>
    </row>
    <row r="19" spans="1:17" x14ac:dyDescent="0.3">
      <c r="A19" s="133">
        <v>11</v>
      </c>
      <c r="B19" s="145" t="s">
        <v>250</v>
      </c>
      <c r="C19" s="109">
        <v>1729.6</v>
      </c>
      <c r="D19" s="112">
        <v>1737.5</v>
      </c>
      <c r="E19" s="112">
        <v>1743.9</v>
      </c>
      <c r="F19" s="109">
        <v>1729.6</v>
      </c>
      <c r="G19" s="112">
        <v>1740.5</v>
      </c>
      <c r="H19" s="112">
        <v>1749</v>
      </c>
      <c r="I19" s="109">
        <v>1751.7</v>
      </c>
      <c r="J19" s="110">
        <v>1773.7</v>
      </c>
      <c r="K19" s="112">
        <v>1777.4</v>
      </c>
      <c r="L19" s="110">
        <v>1776.7</v>
      </c>
      <c r="M19" s="112">
        <v>1778</v>
      </c>
      <c r="N19" s="113">
        <v>1787.6</v>
      </c>
      <c r="O19" s="88"/>
    </row>
    <row r="20" spans="1:17" x14ac:dyDescent="0.3">
      <c r="B20" s="78" t="s">
        <v>251</v>
      </c>
      <c r="C20" s="114" t="s">
        <v>1466</v>
      </c>
      <c r="D20" s="116"/>
      <c r="E20" s="116"/>
      <c r="F20" s="114" t="s">
        <v>1515</v>
      </c>
      <c r="G20" s="116"/>
      <c r="H20" s="116"/>
      <c r="I20" s="114" t="s">
        <v>1880</v>
      </c>
      <c r="J20" s="115" t="s">
        <v>1880</v>
      </c>
      <c r="K20" s="116" t="s">
        <v>1880</v>
      </c>
      <c r="L20" s="115" t="s">
        <v>1880</v>
      </c>
      <c r="M20" s="116" t="s">
        <v>1880</v>
      </c>
      <c r="N20" s="117" t="s">
        <v>1880</v>
      </c>
      <c r="O20" s="88"/>
    </row>
    <row r="21" spans="1:17" ht="16.350000000000001" customHeight="1" x14ac:dyDescent="0.3">
      <c r="A21" s="135">
        <v>12</v>
      </c>
      <c r="B21" s="138" t="s">
        <v>959</v>
      </c>
      <c r="C21" s="114">
        <v>0</v>
      </c>
      <c r="D21" s="116">
        <v>0</v>
      </c>
      <c r="E21" s="116">
        <v>0</v>
      </c>
      <c r="F21" s="114">
        <v>0</v>
      </c>
      <c r="G21" s="116">
        <v>0</v>
      </c>
      <c r="H21" s="116">
        <v>0</v>
      </c>
      <c r="I21" s="114">
        <v>0</v>
      </c>
      <c r="J21" s="115">
        <v>0</v>
      </c>
      <c r="K21" s="116">
        <v>0</v>
      </c>
      <c r="L21" s="115">
        <v>0</v>
      </c>
      <c r="M21" s="116">
        <v>0</v>
      </c>
      <c r="N21" s="117">
        <v>0</v>
      </c>
      <c r="O21" s="89"/>
    </row>
    <row r="22" spans="1:17" x14ac:dyDescent="0.3">
      <c r="A22" s="132">
        <v>13</v>
      </c>
      <c r="B22" s="76" t="s">
        <v>252</v>
      </c>
      <c r="C22" s="148">
        <v>739.2</v>
      </c>
      <c r="D22" s="149">
        <v>743.3</v>
      </c>
      <c r="E22" s="149">
        <v>752.1</v>
      </c>
      <c r="F22" s="148">
        <v>759.9</v>
      </c>
      <c r="G22" s="149">
        <v>775.8</v>
      </c>
      <c r="H22" s="149">
        <v>792</v>
      </c>
      <c r="I22" s="118">
        <v>792.9</v>
      </c>
      <c r="J22" s="119">
        <v>794.9</v>
      </c>
      <c r="K22" s="120">
        <v>797</v>
      </c>
      <c r="L22" s="119">
        <v>802.7</v>
      </c>
      <c r="M22" s="120">
        <v>807.9</v>
      </c>
      <c r="N22" s="121">
        <v>814.1</v>
      </c>
      <c r="O22" s="88"/>
    </row>
    <row r="23" spans="1:17" x14ac:dyDescent="0.3">
      <c r="A23" s="74">
        <v>14</v>
      </c>
      <c r="B23" s="142" t="s">
        <v>253</v>
      </c>
      <c r="C23" s="144">
        <v>3265.4</v>
      </c>
      <c r="D23" s="147">
        <v>3267.6</v>
      </c>
      <c r="E23" s="147">
        <v>3276.5</v>
      </c>
      <c r="F23" s="144">
        <v>3296.5</v>
      </c>
      <c r="G23" s="147">
        <v>3324.2</v>
      </c>
      <c r="H23" s="147">
        <v>3348.4</v>
      </c>
      <c r="I23" s="105">
        <v>3350.6</v>
      </c>
      <c r="J23" s="106">
        <v>3358.1</v>
      </c>
      <c r="K23" s="107">
        <v>3367.7</v>
      </c>
      <c r="L23" s="106">
        <v>3409</v>
      </c>
      <c r="M23" s="107">
        <v>3413.9</v>
      </c>
      <c r="N23" s="108">
        <v>3417.8</v>
      </c>
      <c r="O23" s="88"/>
    </row>
    <row r="24" spans="1:17" x14ac:dyDescent="0.3">
      <c r="A24" s="133">
        <v>15</v>
      </c>
      <c r="B24" s="145" t="s">
        <v>254</v>
      </c>
      <c r="C24" s="109">
        <v>1664.6</v>
      </c>
      <c r="D24" s="112">
        <v>1670.8</v>
      </c>
      <c r="E24" s="112">
        <v>1676.9</v>
      </c>
      <c r="F24" s="109">
        <v>1692.6</v>
      </c>
      <c r="G24" s="112">
        <v>1708.5</v>
      </c>
      <c r="H24" s="112">
        <v>1724.6</v>
      </c>
      <c r="I24" s="109">
        <v>1731.1</v>
      </c>
      <c r="J24" s="110">
        <v>1738</v>
      </c>
      <c r="K24" s="112">
        <v>1745.2</v>
      </c>
      <c r="L24" s="110">
        <v>1762.4</v>
      </c>
      <c r="M24" s="112">
        <v>1780.2</v>
      </c>
      <c r="N24" s="113">
        <v>1798.8</v>
      </c>
      <c r="O24" s="88"/>
    </row>
    <row r="25" spans="1:17" x14ac:dyDescent="0.3">
      <c r="A25" s="35">
        <v>16</v>
      </c>
      <c r="B25" s="152" t="s">
        <v>255</v>
      </c>
      <c r="C25" s="114">
        <v>1600.8</v>
      </c>
      <c r="D25" s="116">
        <v>1596.8</v>
      </c>
      <c r="E25" s="116">
        <v>1599.6</v>
      </c>
      <c r="F25" s="114">
        <v>1603.8</v>
      </c>
      <c r="G25" s="116">
        <v>1615.6</v>
      </c>
      <c r="H25" s="116">
        <v>1623.8</v>
      </c>
      <c r="I25" s="114">
        <v>1619.5</v>
      </c>
      <c r="J25" s="115">
        <v>1620.1</v>
      </c>
      <c r="K25" s="116">
        <v>1622.6</v>
      </c>
      <c r="L25" s="115">
        <v>1646.6</v>
      </c>
      <c r="M25" s="116">
        <v>1633.7</v>
      </c>
      <c r="N25" s="117">
        <v>1619</v>
      </c>
      <c r="O25" s="88"/>
    </row>
    <row r="26" spans="1:17" x14ac:dyDescent="0.3">
      <c r="A26" s="132">
        <v>17</v>
      </c>
      <c r="B26" s="76" t="s">
        <v>256</v>
      </c>
      <c r="C26" s="148">
        <v>3869.5</v>
      </c>
      <c r="D26" s="149">
        <v>3866.5</v>
      </c>
      <c r="E26" s="149">
        <v>3870.2</v>
      </c>
      <c r="F26" s="148">
        <v>3875.3</v>
      </c>
      <c r="G26" s="149">
        <v>3877.8</v>
      </c>
      <c r="H26" s="149">
        <v>3896.4</v>
      </c>
      <c r="I26" s="118">
        <v>3891.7</v>
      </c>
      <c r="J26" s="119">
        <v>3893.9</v>
      </c>
      <c r="K26" s="120">
        <v>3892.9</v>
      </c>
      <c r="L26" s="119">
        <v>3976.9</v>
      </c>
      <c r="M26" s="120">
        <v>3985.6</v>
      </c>
      <c r="N26" s="121">
        <v>3986.6</v>
      </c>
      <c r="O26" s="88"/>
    </row>
    <row r="27" spans="1:17" x14ac:dyDescent="0.3">
      <c r="A27" s="35">
        <v>18</v>
      </c>
      <c r="B27" s="152" t="s">
        <v>257</v>
      </c>
      <c r="C27" s="114">
        <v>3797.8</v>
      </c>
      <c r="D27" s="116">
        <v>3795.5</v>
      </c>
      <c r="E27" s="116">
        <v>3799.7</v>
      </c>
      <c r="F27" s="114">
        <v>3805.1</v>
      </c>
      <c r="G27" s="116">
        <v>3807.9</v>
      </c>
      <c r="H27" s="116">
        <v>3814.4</v>
      </c>
      <c r="I27" s="114">
        <v>3821.1</v>
      </c>
      <c r="J27" s="115">
        <v>3824.5</v>
      </c>
      <c r="K27" s="116">
        <v>3823.5</v>
      </c>
      <c r="L27" s="115">
        <v>3907.5</v>
      </c>
      <c r="M27" s="116">
        <v>3916.1</v>
      </c>
      <c r="N27" s="117">
        <v>3917</v>
      </c>
      <c r="O27" s="88"/>
    </row>
    <row r="28" spans="1:17" x14ac:dyDescent="0.3">
      <c r="A28" s="133">
        <v>19</v>
      </c>
      <c r="B28" s="145" t="s">
        <v>258</v>
      </c>
      <c r="C28" s="109">
        <v>1195.8</v>
      </c>
      <c r="D28" s="112">
        <v>1197.5999999999999</v>
      </c>
      <c r="E28" s="112">
        <v>1202.7</v>
      </c>
      <c r="F28" s="109">
        <v>1204.4000000000001</v>
      </c>
      <c r="G28" s="112">
        <v>1207.2</v>
      </c>
      <c r="H28" s="112">
        <v>1209</v>
      </c>
      <c r="I28" s="109">
        <v>1211.0999999999999</v>
      </c>
      <c r="J28" s="110">
        <v>1215.9000000000001</v>
      </c>
      <c r="K28" s="112">
        <v>1216.9000000000001</v>
      </c>
      <c r="L28" s="110">
        <v>1229.5</v>
      </c>
      <c r="M28" s="112">
        <v>1224.7</v>
      </c>
      <c r="N28" s="113">
        <v>1221.7</v>
      </c>
      <c r="O28" s="88"/>
    </row>
    <row r="29" spans="1:17" x14ac:dyDescent="0.3">
      <c r="A29" s="135">
        <v>20</v>
      </c>
      <c r="B29" s="136" t="s">
        <v>259</v>
      </c>
      <c r="C29" s="114">
        <v>905</v>
      </c>
      <c r="D29" s="116">
        <v>907.8</v>
      </c>
      <c r="E29" s="116">
        <v>911.2</v>
      </c>
      <c r="F29" s="114">
        <v>907.1</v>
      </c>
      <c r="G29" s="116">
        <v>911.6</v>
      </c>
      <c r="H29" s="116">
        <v>916.6</v>
      </c>
      <c r="I29" s="114">
        <v>914.1</v>
      </c>
      <c r="J29" s="115">
        <v>920.1</v>
      </c>
      <c r="K29" s="116">
        <v>926.7</v>
      </c>
      <c r="L29" s="115">
        <v>933.8</v>
      </c>
      <c r="M29" s="116">
        <v>941.5</v>
      </c>
      <c r="N29" s="117">
        <v>949.7</v>
      </c>
      <c r="O29" s="90">
        <f>Medicare!U10</f>
        <v>958.68725729225423</v>
      </c>
      <c r="P29" s="92">
        <f>N29-L29</f>
        <v>15.900000000000091</v>
      </c>
      <c r="Q29" s="127">
        <f>O29-N29</f>
        <v>8.9872572922541849</v>
      </c>
    </row>
    <row r="30" spans="1:17" x14ac:dyDescent="0.3">
      <c r="A30" s="133"/>
      <c r="B30" s="77" t="s">
        <v>260</v>
      </c>
      <c r="C30" s="109" t="s">
        <v>1466</v>
      </c>
      <c r="D30" s="112" t="s">
        <v>1466</v>
      </c>
      <c r="E30" s="112" t="s">
        <v>1466</v>
      </c>
      <c r="F30" s="109" t="s">
        <v>1515</v>
      </c>
      <c r="G30" s="112" t="s">
        <v>1515</v>
      </c>
      <c r="H30" s="112" t="s">
        <v>1780</v>
      </c>
      <c r="I30" s="109" t="s">
        <v>1880</v>
      </c>
      <c r="J30" s="110" t="s">
        <v>1880</v>
      </c>
      <c r="K30" s="112" t="s">
        <v>1880</v>
      </c>
      <c r="L30" s="110" t="s">
        <v>1880</v>
      </c>
      <c r="M30" s="112" t="s">
        <v>1880</v>
      </c>
      <c r="N30" s="113" t="s">
        <v>1880</v>
      </c>
      <c r="O30" s="88"/>
    </row>
    <row r="31" spans="1:17" ht="16.350000000000001" customHeight="1" x14ac:dyDescent="0.3">
      <c r="A31" s="133">
        <v>21</v>
      </c>
      <c r="B31" s="145" t="s">
        <v>960</v>
      </c>
      <c r="C31" s="109">
        <v>15.8</v>
      </c>
      <c r="D31" s="112">
        <v>15.8</v>
      </c>
      <c r="E31" s="112">
        <v>15.9</v>
      </c>
      <c r="F31" s="109">
        <v>7.9</v>
      </c>
      <c r="G31" s="112">
        <v>7.9</v>
      </c>
      <c r="H31" s="112">
        <v>8</v>
      </c>
      <c r="I31" s="109">
        <v>0</v>
      </c>
      <c r="J31" s="110">
        <v>0</v>
      </c>
      <c r="K31" s="112">
        <v>0</v>
      </c>
      <c r="L31" s="110">
        <v>0</v>
      </c>
      <c r="M31" s="112">
        <v>0</v>
      </c>
      <c r="N31" s="113">
        <v>0</v>
      </c>
      <c r="O31" s="88"/>
    </row>
    <row r="32" spans="1:17" x14ac:dyDescent="0.3">
      <c r="A32" s="135">
        <v>22</v>
      </c>
      <c r="B32" s="136" t="s">
        <v>261</v>
      </c>
      <c r="C32" s="114">
        <v>756.6</v>
      </c>
      <c r="D32" s="116">
        <v>763.8</v>
      </c>
      <c r="E32" s="116">
        <v>769</v>
      </c>
      <c r="F32" s="114">
        <v>780.7</v>
      </c>
      <c r="G32" s="116">
        <v>790.6</v>
      </c>
      <c r="H32" s="116">
        <v>797.2</v>
      </c>
      <c r="I32" s="114">
        <v>790.3</v>
      </c>
      <c r="J32" s="115">
        <v>785.3</v>
      </c>
      <c r="K32" s="116">
        <v>782.8</v>
      </c>
      <c r="L32" s="115">
        <v>784</v>
      </c>
      <c r="M32" s="116">
        <v>784.6</v>
      </c>
      <c r="N32" s="117">
        <v>785.3</v>
      </c>
      <c r="O32" s="90">
        <f>forecast!D11</f>
        <v>796.61590660115485</v>
      </c>
      <c r="P32" s="92">
        <f t="shared" ref="P32:P49" si="0">N32-L32</f>
        <v>1.2999999999999545</v>
      </c>
      <c r="Q32" s="127">
        <f t="shared" ref="Q32:Q49" si="1">O32-N32</f>
        <v>11.315906601154893</v>
      </c>
    </row>
    <row r="33" spans="1:17" x14ac:dyDescent="0.3">
      <c r="A33" s="135">
        <v>23</v>
      </c>
      <c r="B33" s="136" t="s">
        <v>262</v>
      </c>
      <c r="C33" s="109">
        <v>25.5</v>
      </c>
      <c r="D33" s="112">
        <v>23.6</v>
      </c>
      <c r="E33" s="112">
        <v>21.7</v>
      </c>
      <c r="F33" s="109">
        <v>19.5</v>
      </c>
      <c r="G33" s="112">
        <v>18.2</v>
      </c>
      <c r="H33" s="112">
        <v>18.100000000000001</v>
      </c>
      <c r="I33" s="109">
        <v>18.7</v>
      </c>
      <c r="J33" s="110">
        <v>18.899999999999999</v>
      </c>
      <c r="K33" s="112">
        <v>18</v>
      </c>
      <c r="L33" s="110">
        <v>18.899999999999999</v>
      </c>
      <c r="M33" s="112">
        <v>20.7</v>
      </c>
      <c r="N33" s="113">
        <v>21.6</v>
      </c>
      <c r="O33" s="90">
        <f>forecast!D9+forecast!D8</f>
        <v>22.830999999999996</v>
      </c>
      <c r="P33" s="92">
        <f t="shared" si="0"/>
        <v>2.7000000000000028</v>
      </c>
      <c r="Q33" s="127">
        <f t="shared" si="1"/>
        <v>1.2309999999999945</v>
      </c>
    </row>
    <row r="34" spans="1:17" ht="16.350000000000001" customHeight="1" x14ac:dyDescent="0.3">
      <c r="B34" s="79" t="s">
        <v>961</v>
      </c>
      <c r="C34" s="114" t="s">
        <v>1466</v>
      </c>
      <c r="D34" s="116"/>
      <c r="E34" s="116"/>
      <c r="F34" s="114" t="s">
        <v>1515</v>
      </c>
      <c r="G34" s="116"/>
      <c r="H34" s="116"/>
      <c r="I34" s="114" t="s">
        <v>1880</v>
      </c>
      <c r="J34" s="115" t="s">
        <v>1880</v>
      </c>
      <c r="K34" s="116" t="s">
        <v>1880</v>
      </c>
      <c r="L34" s="115" t="s">
        <v>1880</v>
      </c>
      <c r="M34" s="116" t="s">
        <v>1880</v>
      </c>
      <c r="N34" s="117" t="s">
        <v>1880</v>
      </c>
      <c r="O34" s="88"/>
    </row>
    <row r="35" spans="1:17" x14ac:dyDescent="0.3">
      <c r="A35" s="35">
        <v>24</v>
      </c>
      <c r="B35" s="80" t="s">
        <v>263</v>
      </c>
      <c r="C35" s="114">
        <v>0.2</v>
      </c>
      <c r="D35" s="116">
        <v>0.2</v>
      </c>
      <c r="E35" s="116">
        <v>0.2</v>
      </c>
      <c r="F35" s="114">
        <v>0.1</v>
      </c>
      <c r="G35" s="116">
        <v>0</v>
      </c>
      <c r="H35" s="116">
        <v>0</v>
      </c>
      <c r="I35" s="114">
        <v>0</v>
      </c>
      <c r="J35" s="115">
        <v>0</v>
      </c>
      <c r="K35" s="116">
        <v>0</v>
      </c>
      <c r="L35" s="115">
        <v>0</v>
      </c>
      <c r="M35" s="116">
        <v>0</v>
      </c>
      <c r="N35" s="117">
        <v>0</v>
      </c>
      <c r="O35" s="88"/>
    </row>
    <row r="36" spans="1:17" x14ac:dyDescent="0.3">
      <c r="A36" s="133">
        <v>25</v>
      </c>
      <c r="B36" s="81" t="s">
        <v>264</v>
      </c>
      <c r="C36" s="109">
        <v>0.9</v>
      </c>
      <c r="D36" s="112">
        <v>0.8</v>
      </c>
      <c r="E36" s="112">
        <v>0.7</v>
      </c>
      <c r="F36" s="109">
        <v>0.7</v>
      </c>
      <c r="G36" s="112">
        <v>0.5</v>
      </c>
      <c r="H36" s="112">
        <v>0.4</v>
      </c>
      <c r="I36" s="109">
        <v>0.4</v>
      </c>
      <c r="J36" s="110">
        <v>0.3</v>
      </c>
      <c r="K36" s="112">
        <v>0.3</v>
      </c>
      <c r="L36" s="110">
        <v>0.2</v>
      </c>
      <c r="M36" s="112">
        <v>0.2</v>
      </c>
      <c r="N36" s="113">
        <v>0.1</v>
      </c>
      <c r="O36" s="88"/>
    </row>
    <row r="37" spans="1:17" x14ac:dyDescent="0.3">
      <c r="A37" s="35">
        <v>26</v>
      </c>
      <c r="B37" s="80" t="s">
        <v>265</v>
      </c>
      <c r="C37" s="114">
        <v>1</v>
      </c>
      <c r="D37" s="116">
        <v>0.7</v>
      </c>
      <c r="E37" s="116">
        <v>0.6</v>
      </c>
      <c r="F37" s="114">
        <v>0.5</v>
      </c>
      <c r="G37" s="116">
        <v>0.3</v>
      </c>
      <c r="H37" s="116">
        <v>0.3</v>
      </c>
      <c r="I37" s="114">
        <v>0.2</v>
      </c>
      <c r="J37" s="115">
        <v>0.2</v>
      </c>
      <c r="K37" s="116">
        <v>0.2</v>
      </c>
      <c r="L37" s="115">
        <v>0.1</v>
      </c>
      <c r="M37" s="116">
        <v>0.1</v>
      </c>
      <c r="N37" s="117">
        <v>0.1</v>
      </c>
      <c r="O37" s="88"/>
    </row>
    <row r="38" spans="1:17" x14ac:dyDescent="0.3">
      <c r="A38" s="133">
        <v>27</v>
      </c>
      <c r="B38" s="81" t="s">
        <v>266</v>
      </c>
      <c r="C38" s="109">
        <v>0</v>
      </c>
      <c r="D38" s="112">
        <v>0</v>
      </c>
      <c r="E38" s="112">
        <v>0</v>
      </c>
      <c r="F38" s="109">
        <v>0</v>
      </c>
      <c r="G38" s="112">
        <v>0</v>
      </c>
      <c r="H38" s="112">
        <v>0</v>
      </c>
      <c r="I38" s="109">
        <v>0</v>
      </c>
      <c r="J38" s="110">
        <v>0</v>
      </c>
      <c r="K38" s="112">
        <v>0</v>
      </c>
      <c r="L38" s="110">
        <v>0</v>
      </c>
      <c r="M38" s="112">
        <v>0</v>
      </c>
      <c r="N38" s="113">
        <v>0</v>
      </c>
      <c r="O38" s="88"/>
    </row>
    <row r="39" spans="1:17" x14ac:dyDescent="0.3">
      <c r="A39" s="35">
        <v>28</v>
      </c>
      <c r="B39" s="152" t="s">
        <v>267</v>
      </c>
      <c r="C39" s="114">
        <v>157.19999999999999</v>
      </c>
      <c r="D39" s="116">
        <v>157.6</v>
      </c>
      <c r="E39" s="116">
        <v>158.1</v>
      </c>
      <c r="F39" s="114">
        <v>159.1</v>
      </c>
      <c r="G39" s="116">
        <v>159.69999999999999</v>
      </c>
      <c r="H39" s="116">
        <v>160.4</v>
      </c>
      <c r="I39" s="114">
        <v>161.1</v>
      </c>
      <c r="J39" s="115">
        <v>161.6</v>
      </c>
      <c r="K39" s="116">
        <v>162.5</v>
      </c>
      <c r="L39" s="115">
        <v>163.19999999999999</v>
      </c>
      <c r="M39" s="116">
        <v>164</v>
      </c>
      <c r="N39" s="117">
        <v>164.8</v>
      </c>
      <c r="O39" s="88"/>
    </row>
    <row r="40" spans="1:17" x14ac:dyDescent="0.3">
      <c r="A40" s="133">
        <v>29</v>
      </c>
      <c r="B40" s="145" t="s">
        <v>268</v>
      </c>
      <c r="C40" s="109">
        <v>757.8</v>
      </c>
      <c r="D40" s="112">
        <v>745.1</v>
      </c>
      <c r="E40" s="112">
        <v>736.9</v>
      </c>
      <c r="F40" s="109">
        <v>734.2</v>
      </c>
      <c r="G40" s="112">
        <v>720.5</v>
      </c>
      <c r="H40" s="112">
        <v>713.2</v>
      </c>
      <c r="I40" s="109">
        <v>725.8</v>
      </c>
      <c r="J40" s="110">
        <v>722.7</v>
      </c>
      <c r="K40" s="112">
        <v>716.6</v>
      </c>
      <c r="L40" s="110">
        <v>778</v>
      </c>
      <c r="M40" s="112">
        <v>780.6</v>
      </c>
      <c r="N40" s="113">
        <v>773.8</v>
      </c>
      <c r="O40" s="88"/>
    </row>
    <row r="41" spans="1:17" x14ac:dyDescent="0.3">
      <c r="B41" s="79" t="s">
        <v>269</v>
      </c>
      <c r="C41" s="114" t="s">
        <v>1466</v>
      </c>
      <c r="D41" s="116"/>
      <c r="E41" s="116"/>
      <c r="F41" s="114" t="s">
        <v>1515</v>
      </c>
      <c r="G41" s="116"/>
      <c r="H41" s="116"/>
      <c r="I41" s="114" t="s">
        <v>1880</v>
      </c>
      <c r="J41" s="115" t="s">
        <v>1880</v>
      </c>
      <c r="K41" s="116" t="s">
        <v>1880</v>
      </c>
      <c r="L41" s="115" t="s">
        <v>1880</v>
      </c>
      <c r="M41" s="116" t="s">
        <v>1880</v>
      </c>
      <c r="N41" s="117" t="s">
        <v>1880</v>
      </c>
      <c r="O41" s="88"/>
    </row>
    <row r="42" spans="1:17" ht="16.350000000000001" customHeight="1" x14ac:dyDescent="0.3">
      <c r="A42" s="135">
        <v>30</v>
      </c>
      <c r="B42" s="137" t="s">
        <v>962</v>
      </c>
      <c r="C42" s="114">
        <v>94.3</v>
      </c>
      <c r="D42" s="116">
        <v>94.3</v>
      </c>
      <c r="E42" s="116">
        <v>94.3</v>
      </c>
      <c r="F42" s="114">
        <v>94.3</v>
      </c>
      <c r="G42" s="116">
        <v>94.3</v>
      </c>
      <c r="H42" s="116">
        <v>94.3</v>
      </c>
      <c r="I42" s="114">
        <v>94.3</v>
      </c>
      <c r="J42" s="115">
        <v>94.3</v>
      </c>
      <c r="K42" s="116">
        <v>94.3</v>
      </c>
      <c r="L42" s="115">
        <v>94.3</v>
      </c>
      <c r="M42" s="116">
        <v>94.3</v>
      </c>
      <c r="N42" s="117">
        <v>94.3</v>
      </c>
      <c r="O42" s="90">
        <f>'Social Benefits'!U21</f>
        <v>34</v>
      </c>
      <c r="P42" s="92">
        <f t="shared" si="0"/>
        <v>0</v>
      </c>
      <c r="Q42" s="127">
        <f t="shared" si="1"/>
        <v>-60.3</v>
      </c>
    </row>
    <row r="43" spans="1:17" ht="16.350000000000001" customHeight="1" x14ac:dyDescent="0.3">
      <c r="A43" s="135">
        <v>31</v>
      </c>
      <c r="B43" s="137" t="s">
        <v>963</v>
      </c>
      <c r="C43" s="109">
        <v>0</v>
      </c>
      <c r="D43" s="112">
        <v>0</v>
      </c>
      <c r="E43" s="112">
        <v>0</v>
      </c>
      <c r="F43" s="109">
        <v>0</v>
      </c>
      <c r="G43" s="112">
        <v>0</v>
      </c>
      <c r="H43" s="112">
        <v>0</v>
      </c>
      <c r="I43" s="109">
        <v>0</v>
      </c>
      <c r="J43" s="110">
        <v>0</v>
      </c>
      <c r="K43" s="112">
        <v>0</v>
      </c>
      <c r="L43" s="110">
        <v>0</v>
      </c>
      <c r="M43" s="112">
        <v>0</v>
      </c>
      <c r="N43" s="113">
        <v>0</v>
      </c>
      <c r="O43" s="89"/>
      <c r="P43" s="92">
        <f t="shared" si="0"/>
        <v>0</v>
      </c>
      <c r="Q43" s="127">
        <f t="shared" si="1"/>
        <v>0</v>
      </c>
    </row>
    <row r="44" spans="1:17" ht="16.350000000000001" customHeight="1" x14ac:dyDescent="0.3">
      <c r="A44" s="35">
        <v>32</v>
      </c>
      <c r="B44" s="80" t="s">
        <v>964</v>
      </c>
      <c r="C44" s="114">
        <v>0</v>
      </c>
      <c r="D44" s="116">
        <v>0</v>
      </c>
      <c r="E44" s="116">
        <v>0</v>
      </c>
      <c r="F44" s="114">
        <v>0</v>
      </c>
      <c r="G44" s="116">
        <v>0</v>
      </c>
      <c r="H44" s="116">
        <v>0</v>
      </c>
      <c r="I44" s="114">
        <v>0</v>
      </c>
      <c r="J44" s="115">
        <v>0</v>
      </c>
      <c r="K44" s="116">
        <v>0</v>
      </c>
      <c r="L44" s="115">
        <v>0</v>
      </c>
      <c r="M44" s="116">
        <v>0</v>
      </c>
      <c r="N44" s="117">
        <v>0</v>
      </c>
      <c r="O44" s="88"/>
      <c r="P44" s="92">
        <f t="shared" si="0"/>
        <v>0</v>
      </c>
      <c r="Q44" s="127">
        <f t="shared" si="1"/>
        <v>0</v>
      </c>
    </row>
    <row r="45" spans="1:17" ht="16.350000000000001" customHeight="1" x14ac:dyDescent="0.3">
      <c r="A45" s="135">
        <v>33</v>
      </c>
      <c r="B45" s="138" t="s">
        <v>965</v>
      </c>
      <c r="C45" s="109">
        <v>0</v>
      </c>
      <c r="D45" s="112">
        <v>0</v>
      </c>
      <c r="E45" s="112">
        <v>0</v>
      </c>
      <c r="F45" s="109">
        <v>0</v>
      </c>
      <c r="G45" s="112">
        <v>0</v>
      </c>
      <c r="H45" s="112">
        <v>0</v>
      </c>
      <c r="I45" s="109">
        <v>0</v>
      </c>
      <c r="J45" s="110">
        <v>0</v>
      </c>
      <c r="K45" s="112">
        <v>0</v>
      </c>
      <c r="L45" s="110">
        <v>0</v>
      </c>
      <c r="M45" s="112">
        <v>0</v>
      </c>
      <c r="N45" s="113">
        <v>0</v>
      </c>
      <c r="O45" s="89"/>
      <c r="P45" s="92">
        <f t="shared" si="0"/>
        <v>0</v>
      </c>
      <c r="Q45" s="127">
        <f t="shared" si="1"/>
        <v>0</v>
      </c>
    </row>
    <row r="46" spans="1:17" ht="16.350000000000001" customHeight="1" x14ac:dyDescent="0.3">
      <c r="A46" s="135">
        <v>34</v>
      </c>
      <c r="B46" s="84" t="s">
        <v>966</v>
      </c>
      <c r="C46" s="114">
        <v>32.700000000000003</v>
      </c>
      <c r="D46" s="116">
        <v>23.6</v>
      </c>
      <c r="E46" s="116">
        <v>24.3</v>
      </c>
      <c r="F46" s="114">
        <v>27.3</v>
      </c>
      <c r="G46" s="116">
        <v>17.8</v>
      </c>
      <c r="H46" s="116">
        <v>14.8</v>
      </c>
      <c r="I46" s="114">
        <v>11.8</v>
      </c>
      <c r="J46" s="115">
        <v>9.8000000000000007</v>
      </c>
      <c r="K46" s="116">
        <v>2.8</v>
      </c>
      <c r="L46" s="115">
        <v>3.2</v>
      </c>
      <c r="M46" s="116">
        <v>8.1</v>
      </c>
      <c r="N46" s="117">
        <v>3.3</v>
      </c>
      <c r="O46" s="91">
        <f>'Provider Relief (expired)'!U11</f>
        <v>0</v>
      </c>
      <c r="P46" s="92">
        <f t="shared" si="0"/>
        <v>9.9999999999999645E-2</v>
      </c>
      <c r="Q46" s="127">
        <f t="shared" si="1"/>
        <v>-3.3</v>
      </c>
    </row>
    <row r="47" spans="1:17" x14ac:dyDescent="0.3">
      <c r="A47" s="133">
        <v>35</v>
      </c>
      <c r="B47" s="145" t="s">
        <v>270</v>
      </c>
      <c r="C47" s="109">
        <v>71.7</v>
      </c>
      <c r="D47" s="112">
        <v>71</v>
      </c>
      <c r="E47" s="112">
        <v>70.5</v>
      </c>
      <c r="F47" s="109">
        <v>70.2</v>
      </c>
      <c r="G47" s="112">
        <v>70</v>
      </c>
      <c r="H47" s="112">
        <v>82</v>
      </c>
      <c r="I47" s="109">
        <v>70.7</v>
      </c>
      <c r="J47" s="110">
        <v>69.400000000000006</v>
      </c>
      <c r="K47" s="112">
        <v>69.400000000000006</v>
      </c>
      <c r="L47" s="110">
        <v>69.400000000000006</v>
      </c>
      <c r="M47" s="112">
        <v>69.5</v>
      </c>
      <c r="N47" s="113">
        <v>69.599999999999994</v>
      </c>
      <c r="O47" s="88"/>
      <c r="P47" s="92">
        <f t="shared" si="0"/>
        <v>0.19999999999998863</v>
      </c>
      <c r="Q47" s="127">
        <f t="shared" si="1"/>
        <v>-69.599999999999994</v>
      </c>
    </row>
    <row r="48" spans="1:17" x14ac:dyDescent="0.3">
      <c r="A48" s="74">
        <v>36</v>
      </c>
      <c r="B48" s="142" t="s">
        <v>271</v>
      </c>
      <c r="C48" s="144">
        <v>1623.6</v>
      </c>
      <c r="D48" s="147">
        <v>1635.9</v>
      </c>
      <c r="E48" s="147">
        <v>1644.7</v>
      </c>
      <c r="F48" s="144">
        <v>1651.8</v>
      </c>
      <c r="G48" s="147">
        <v>1661.2</v>
      </c>
      <c r="H48" s="147">
        <v>1661.3</v>
      </c>
      <c r="I48" s="105">
        <v>1673.9</v>
      </c>
      <c r="J48" s="106">
        <v>1679.7</v>
      </c>
      <c r="K48" s="107">
        <v>1688.8</v>
      </c>
      <c r="L48" s="106">
        <v>1695.3</v>
      </c>
      <c r="M48" s="107">
        <v>1700.3</v>
      </c>
      <c r="N48" s="108">
        <v>1704.3</v>
      </c>
      <c r="O48" s="129">
        <f>Taxes!U13+Taxes!U25</f>
        <v>1744.6944373767442</v>
      </c>
      <c r="P48" s="92">
        <f t="shared" si="0"/>
        <v>9</v>
      </c>
      <c r="Q48" s="127">
        <f t="shared" si="1"/>
        <v>40.394437376744236</v>
      </c>
    </row>
    <row r="49" spans="1:17" x14ac:dyDescent="0.3">
      <c r="A49" s="132">
        <v>37</v>
      </c>
      <c r="B49" s="76" t="s">
        <v>272</v>
      </c>
      <c r="C49" s="148">
        <v>3125.7</v>
      </c>
      <c r="D49" s="149">
        <v>3147</v>
      </c>
      <c r="E49" s="149">
        <v>3163.7</v>
      </c>
      <c r="F49" s="148">
        <v>3183.6</v>
      </c>
      <c r="G49" s="149">
        <v>3199.3</v>
      </c>
      <c r="H49" s="149">
        <v>3198.5</v>
      </c>
      <c r="I49" s="118">
        <v>3216.6</v>
      </c>
      <c r="J49" s="119">
        <v>3227.9</v>
      </c>
      <c r="K49" s="120">
        <v>3243.1</v>
      </c>
      <c r="L49" s="119">
        <v>3245.9</v>
      </c>
      <c r="M49" s="120">
        <v>3241.8</v>
      </c>
      <c r="N49" s="121">
        <v>3242.2</v>
      </c>
      <c r="O49" s="129">
        <f>Taxes!U10+Taxes!U24</f>
        <v>3161.2690691490393</v>
      </c>
      <c r="P49" s="92">
        <f t="shared" si="0"/>
        <v>-3.7000000000002728</v>
      </c>
      <c r="Q49" s="127">
        <f t="shared" si="1"/>
        <v>-80.930930850960522</v>
      </c>
    </row>
    <row r="50" spans="1:17" x14ac:dyDescent="0.3">
      <c r="A50" s="74">
        <v>38</v>
      </c>
      <c r="B50" s="142" t="s">
        <v>273</v>
      </c>
      <c r="C50" s="144">
        <v>18080</v>
      </c>
      <c r="D50" s="147">
        <v>18172.5</v>
      </c>
      <c r="E50" s="147">
        <v>18270.599999999999</v>
      </c>
      <c r="F50" s="144">
        <v>18320</v>
      </c>
      <c r="G50" s="147">
        <v>18425</v>
      </c>
      <c r="H50" s="147">
        <v>18488.5</v>
      </c>
      <c r="I50" s="105">
        <v>18565.099999999999</v>
      </c>
      <c r="J50" s="106">
        <v>18631.900000000001</v>
      </c>
      <c r="K50" s="107">
        <v>18699.5</v>
      </c>
      <c r="L50" s="106">
        <v>18872.400000000001</v>
      </c>
      <c r="M50" s="107">
        <v>18933</v>
      </c>
      <c r="N50" s="108">
        <v>18982.099999999999</v>
      </c>
      <c r="O50" s="88"/>
      <c r="P50" s="70"/>
    </row>
    <row r="51" spans="1:17" x14ac:dyDescent="0.3">
      <c r="A51" s="132">
        <v>39</v>
      </c>
      <c r="B51" s="76" t="s">
        <v>274</v>
      </c>
      <c r="C51" s="148">
        <v>17234.400000000001</v>
      </c>
      <c r="D51" s="149">
        <v>17359.2</v>
      </c>
      <c r="E51" s="149">
        <v>17574.8</v>
      </c>
      <c r="F51" s="148">
        <v>17645.400000000001</v>
      </c>
      <c r="G51" s="149">
        <v>17768.400000000001</v>
      </c>
      <c r="H51" s="149">
        <v>17982.2</v>
      </c>
      <c r="I51" s="118">
        <v>17983.400000000001</v>
      </c>
      <c r="J51" s="119">
        <v>18132.7</v>
      </c>
      <c r="K51" s="120">
        <v>18257.400000000001</v>
      </c>
      <c r="L51" s="119">
        <v>18400.400000000001</v>
      </c>
      <c r="M51" s="120">
        <v>18383.8</v>
      </c>
      <c r="N51" s="121">
        <v>18344.7</v>
      </c>
      <c r="O51" s="88"/>
      <c r="P51" s="70">
        <f>K49/C49-1</f>
        <v>3.755958665258996E-2</v>
      </c>
    </row>
    <row r="52" spans="1:17" x14ac:dyDescent="0.3">
      <c r="A52" s="35">
        <v>40</v>
      </c>
      <c r="B52" s="152" t="s">
        <v>275</v>
      </c>
      <c r="C52" s="114">
        <v>16725.599999999999</v>
      </c>
      <c r="D52" s="116">
        <v>16844.5</v>
      </c>
      <c r="E52" s="116">
        <v>17054.2</v>
      </c>
      <c r="F52" s="114">
        <v>17115.599999999999</v>
      </c>
      <c r="G52" s="116">
        <v>17231.099999999999</v>
      </c>
      <c r="H52" s="116">
        <v>17437.400000000001</v>
      </c>
      <c r="I52" s="114">
        <v>17420.3</v>
      </c>
      <c r="J52" s="115">
        <v>17550.900000000001</v>
      </c>
      <c r="K52" s="116">
        <v>17656.8</v>
      </c>
      <c r="L52" s="115">
        <v>17797.900000000001</v>
      </c>
      <c r="M52" s="116">
        <v>17778.8</v>
      </c>
      <c r="N52" s="117">
        <v>17737.2</v>
      </c>
      <c r="O52" s="88"/>
    </row>
    <row r="53" spans="1:17" x14ac:dyDescent="0.3">
      <c r="A53" s="133">
        <v>41</v>
      </c>
      <c r="B53" s="145" t="s">
        <v>276</v>
      </c>
      <c r="C53" s="109">
        <v>288.10000000000002</v>
      </c>
      <c r="D53" s="112">
        <v>293.5</v>
      </c>
      <c r="E53" s="112">
        <v>298.8</v>
      </c>
      <c r="F53" s="109">
        <v>306</v>
      </c>
      <c r="G53" s="112">
        <v>313.10000000000002</v>
      </c>
      <c r="H53" s="112">
        <v>320.2</v>
      </c>
      <c r="I53" s="109">
        <v>338.7</v>
      </c>
      <c r="J53" s="110">
        <v>357.1</v>
      </c>
      <c r="K53" s="112">
        <v>375.6</v>
      </c>
      <c r="L53" s="110">
        <v>377.9</v>
      </c>
      <c r="M53" s="112">
        <v>380.2</v>
      </c>
      <c r="N53" s="113">
        <v>382.5</v>
      </c>
      <c r="O53" s="88"/>
    </row>
    <row r="54" spans="1:17" x14ac:dyDescent="0.3">
      <c r="B54" s="82" t="s">
        <v>277</v>
      </c>
      <c r="C54" s="114" t="s">
        <v>1466</v>
      </c>
      <c r="D54" s="116"/>
      <c r="E54" s="116"/>
      <c r="F54" s="114" t="s">
        <v>1515</v>
      </c>
      <c r="G54" s="116"/>
      <c r="H54" s="116"/>
      <c r="I54" s="114" t="s">
        <v>1880</v>
      </c>
      <c r="J54" s="115" t="s">
        <v>1880</v>
      </c>
      <c r="K54" s="116" t="s">
        <v>1880</v>
      </c>
      <c r="L54" s="115" t="s">
        <v>1880</v>
      </c>
      <c r="M54" s="116" t="s">
        <v>1880</v>
      </c>
      <c r="N54" s="117" t="s">
        <v>1880</v>
      </c>
      <c r="O54" s="88"/>
    </row>
    <row r="55" spans="1:17" ht="16.350000000000001" customHeight="1" x14ac:dyDescent="0.3">
      <c r="A55" s="35">
        <v>42</v>
      </c>
      <c r="B55" s="80" t="s">
        <v>967</v>
      </c>
      <c r="C55" s="114">
        <v>-37.799999999999997</v>
      </c>
      <c r="D55" s="116">
        <v>-37.799999999999997</v>
      </c>
      <c r="E55" s="116">
        <v>-37.799999999999997</v>
      </c>
      <c r="F55" s="114">
        <v>-37.799999999999997</v>
      </c>
      <c r="G55" s="116">
        <v>-37.799999999999997</v>
      </c>
      <c r="H55" s="116">
        <v>-37.799999999999997</v>
      </c>
      <c r="I55" s="114">
        <v>-37.799999999999997</v>
      </c>
      <c r="J55" s="115">
        <v>-37.799999999999997</v>
      </c>
      <c r="K55" s="116">
        <v>-37.799999999999997</v>
      </c>
      <c r="L55" s="115">
        <v>-37.799999999999997</v>
      </c>
      <c r="M55" s="116">
        <v>-37.799999999999997</v>
      </c>
      <c r="N55" s="117">
        <v>-37.799999999999997</v>
      </c>
      <c r="O55" s="88"/>
    </row>
    <row r="56" spans="1:17" x14ac:dyDescent="0.3">
      <c r="A56" s="133">
        <v>43</v>
      </c>
      <c r="B56" s="145" t="s">
        <v>278</v>
      </c>
      <c r="C56" s="109">
        <v>220.7</v>
      </c>
      <c r="D56" s="112">
        <v>221.3</v>
      </c>
      <c r="E56" s="112">
        <v>221.8</v>
      </c>
      <c r="F56" s="109">
        <v>223.8</v>
      </c>
      <c r="G56" s="112">
        <v>224.2</v>
      </c>
      <c r="H56" s="112">
        <v>224.6</v>
      </c>
      <c r="I56" s="109">
        <v>224.4</v>
      </c>
      <c r="J56" s="110">
        <v>224.7</v>
      </c>
      <c r="K56" s="112">
        <v>225</v>
      </c>
      <c r="L56" s="110">
        <v>224.7</v>
      </c>
      <c r="M56" s="112">
        <v>224.9</v>
      </c>
      <c r="N56" s="113">
        <v>225</v>
      </c>
      <c r="O56" s="88"/>
    </row>
    <row r="57" spans="1:17" x14ac:dyDescent="0.3">
      <c r="A57" s="35">
        <v>44</v>
      </c>
      <c r="B57" s="152" t="s">
        <v>279</v>
      </c>
      <c r="C57" s="114">
        <v>113.6</v>
      </c>
      <c r="D57" s="116">
        <v>114.1</v>
      </c>
      <c r="E57" s="116">
        <v>114.6</v>
      </c>
      <c r="F57" s="114">
        <v>115</v>
      </c>
      <c r="G57" s="116">
        <v>115.4</v>
      </c>
      <c r="H57" s="116">
        <v>115.8</v>
      </c>
      <c r="I57" s="114">
        <v>116.1</v>
      </c>
      <c r="J57" s="115">
        <v>116.4</v>
      </c>
      <c r="K57" s="116">
        <v>116.7</v>
      </c>
      <c r="L57" s="115">
        <v>116.9</v>
      </c>
      <c r="M57" s="116">
        <v>117.1</v>
      </c>
      <c r="N57" s="117">
        <v>117.2</v>
      </c>
      <c r="O57" s="88"/>
    </row>
    <row r="58" spans="1:17" x14ac:dyDescent="0.3">
      <c r="A58" s="133">
        <v>45</v>
      </c>
      <c r="B58" s="145" t="s">
        <v>280</v>
      </c>
      <c r="C58" s="109">
        <v>107.2</v>
      </c>
      <c r="D58" s="112">
        <v>107.2</v>
      </c>
      <c r="E58" s="112">
        <v>107.2</v>
      </c>
      <c r="F58" s="109">
        <v>108.8</v>
      </c>
      <c r="G58" s="112">
        <v>108.8</v>
      </c>
      <c r="H58" s="112">
        <v>108.8</v>
      </c>
      <c r="I58" s="109">
        <v>108.3</v>
      </c>
      <c r="J58" s="110">
        <v>108.3</v>
      </c>
      <c r="K58" s="112">
        <v>108.3</v>
      </c>
      <c r="L58" s="110">
        <v>107.8</v>
      </c>
      <c r="M58" s="112">
        <v>107.8</v>
      </c>
      <c r="N58" s="113">
        <v>107.8</v>
      </c>
      <c r="O58" s="88"/>
    </row>
    <row r="59" spans="1:17" ht="15" customHeight="1" x14ac:dyDescent="0.3">
      <c r="A59" s="134">
        <v>46</v>
      </c>
      <c r="B59" s="83" t="s">
        <v>281</v>
      </c>
      <c r="C59" s="151">
        <v>845.6</v>
      </c>
      <c r="D59" s="150">
        <v>813.3</v>
      </c>
      <c r="E59" s="150">
        <v>695.8</v>
      </c>
      <c r="F59" s="151">
        <v>674.7</v>
      </c>
      <c r="G59" s="150">
        <v>656.6</v>
      </c>
      <c r="H59" s="150">
        <v>506.3</v>
      </c>
      <c r="I59" s="123">
        <v>581.70000000000005</v>
      </c>
      <c r="J59" s="124">
        <v>499.2</v>
      </c>
      <c r="K59" s="125">
        <v>442.1</v>
      </c>
      <c r="L59" s="124">
        <v>471.9</v>
      </c>
      <c r="M59" s="125">
        <v>549.1</v>
      </c>
      <c r="N59" s="126">
        <v>637.5</v>
      </c>
      <c r="O59" s="93"/>
    </row>
    <row r="61" spans="1:17" x14ac:dyDescent="0.3">
      <c r="A61" s="35" t="s">
        <v>282</v>
      </c>
      <c r="B61" s="35" t="s">
        <v>283</v>
      </c>
      <c r="I61" s="35"/>
      <c r="J61" s="35"/>
      <c r="K61" s="35"/>
      <c r="L61" s="35"/>
      <c r="M61" s="35"/>
      <c r="N61" s="35"/>
    </row>
    <row r="62" spans="1:17" x14ac:dyDescent="0.3">
      <c r="A62" s="35" t="s">
        <v>284</v>
      </c>
      <c r="B62" s="35" t="s">
        <v>285</v>
      </c>
    </row>
    <row r="63" spans="1:17" x14ac:dyDescent="0.3">
      <c r="A63" s="35" t="s">
        <v>286</v>
      </c>
      <c r="B63" s="35" t="s">
        <v>287</v>
      </c>
    </row>
    <row r="64" spans="1:17" x14ac:dyDescent="0.3">
      <c r="A64" s="35" t="s">
        <v>288</v>
      </c>
      <c r="B64" s="35" t="s">
        <v>289</v>
      </c>
    </row>
    <row r="66" spans="1:7" x14ac:dyDescent="0.3">
      <c r="A66" s="1261" t="s">
        <v>943</v>
      </c>
      <c r="B66" s="1261"/>
      <c r="C66" s="1261"/>
      <c r="D66" s="1261"/>
      <c r="E66" s="1261"/>
      <c r="F66" s="1261"/>
      <c r="G66" s="1261"/>
    </row>
    <row r="67" spans="1:7" x14ac:dyDescent="0.3">
      <c r="A67" s="1259" t="s">
        <v>944</v>
      </c>
      <c r="B67" s="1259"/>
      <c r="C67" s="1259"/>
      <c r="D67" s="1259"/>
      <c r="E67" s="1259"/>
      <c r="F67" s="1259"/>
      <c r="G67" s="1259"/>
    </row>
    <row r="68" spans="1:7" x14ac:dyDescent="0.3">
      <c r="A68" s="1258" t="s">
        <v>945</v>
      </c>
      <c r="B68" s="1258"/>
      <c r="C68" s="1258"/>
      <c r="D68" s="1258"/>
      <c r="E68" s="1258"/>
      <c r="F68" s="1258"/>
      <c r="G68" s="1258"/>
    </row>
    <row r="69" spans="1:7" x14ac:dyDescent="0.3">
      <c r="A69" s="1260" t="s">
        <v>946</v>
      </c>
      <c r="B69" s="1260"/>
      <c r="C69" s="1260"/>
      <c r="D69" s="1260"/>
      <c r="E69" s="1260"/>
      <c r="F69" s="1260"/>
      <c r="G69" s="1260"/>
    </row>
    <row r="70" spans="1:7" x14ac:dyDescent="0.3">
      <c r="A70" s="1261" t="s">
        <v>947</v>
      </c>
      <c r="B70" s="1261"/>
      <c r="C70" s="1261"/>
      <c r="D70" s="1261"/>
      <c r="E70" s="1261"/>
      <c r="F70" s="1261"/>
      <c r="G70" s="1261"/>
    </row>
    <row r="71" spans="1:7" x14ac:dyDescent="0.3">
      <c r="A71" s="1259" t="s">
        <v>948</v>
      </c>
      <c r="B71" s="1259"/>
      <c r="C71" s="1259"/>
      <c r="D71" s="1259"/>
      <c r="E71" s="1259"/>
      <c r="F71" s="1259"/>
      <c r="G71" s="1259"/>
    </row>
    <row r="72" spans="1:7" x14ac:dyDescent="0.3">
      <c r="A72" s="1258" t="s">
        <v>949</v>
      </c>
      <c r="B72" s="1258"/>
      <c r="C72" s="1258"/>
      <c r="D72" s="1258"/>
      <c r="E72" s="1258"/>
      <c r="F72" s="1258"/>
      <c r="G72" s="1258"/>
    </row>
    <row r="73" spans="1:7" x14ac:dyDescent="0.3">
      <c r="A73" s="1258" t="s">
        <v>950</v>
      </c>
      <c r="B73" s="1258"/>
      <c r="C73" s="1258"/>
      <c r="D73" s="1258"/>
      <c r="E73" s="1258"/>
      <c r="F73" s="1258"/>
      <c r="G73" s="1258"/>
    </row>
    <row r="74" spans="1:7" x14ac:dyDescent="0.3">
      <c r="A74" s="1259" t="s">
        <v>951</v>
      </c>
      <c r="B74" s="1259"/>
      <c r="C74" s="1259"/>
      <c r="D74" s="1259"/>
      <c r="E74" s="1259"/>
      <c r="F74" s="1259"/>
      <c r="G74" s="1259"/>
    </row>
    <row r="76" spans="1:7" x14ac:dyDescent="0.3">
      <c r="A76" s="1260" t="s">
        <v>952</v>
      </c>
      <c r="B76" s="1260"/>
      <c r="C76" s="1260"/>
      <c r="D76" s="1260"/>
      <c r="E76" s="1260"/>
      <c r="F76" s="1260"/>
      <c r="G76" s="1260"/>
    </row>
    <row r="78" spans="1:7" x14ac:dyDescent="0.3">
      <c r="A78" s="35" t="s">
        <v>290</v>
      </c>
    </row>
    <row r="80" spans="1:7" x14ac:dyDescent="0.3">
      <c r="A80" s="35" t="s">
        <v>291</v>
      </c>
    </row>
    <row r="82" spans="1:1" x14ac:dyDescent="0.3">
      <c r="A82" s="140"/>
    </row>
    <row r="88" spans="1:1" x14ac:dyDescent="0.3">
      <c r="A88" s="139"/>
    </row>
    <row r="89" spans="1:1" x14ac:dyDescent="0.3">
      <c r="A89" s="139"/>
    </row>
    <row r="90" spans="1:1" x14ac:dyDescent="0.3">
      <c r="A90" s="139"/>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T2" workbookViewId="0">
      <selection activeCell="AB8" sqref="AB8"/>
    </sheetView>
  </sheetViews>
  <sheetFormatPr defaultColWidth="10.7773437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29" ht="18.600000000000001" customHeight="1" x14ac:dyDescent="0.35">
      <c r="A1" s="1262" t="s">
        <v>1829</v>
      </c>
      <c r="B1" s="1263"/>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263"/>
    </row>
    <row r="2" spans="1:29" ht="17.100000000000001" customHeight="1" x14ac:dyDescent="0.35">
      <c r="A2" s="1264" t="s">
        <v>1830</v>
      </c>
      <c r="B2" s="1263"/>
      <c r="C2" s="1263"/>
      <c r="D2" s="1263"/>
      <c r="E2" s="1263"/>
      <c r="F2" s="1263"/>
      <c r="G2" s="1263"/>
      <c r="H2" s="1263"/>
      <c r="I2" s="1263"/>
      <c r="J2" s="1263"/>
      <c r="K2" s="1263"/>
      <c r="L2" s="1263"/>
      <c r="M2" s="1263"/>
      <c r="N2" s="1263"/>
      <c r="O2" s="1263"/>
      <c r="P2" s="1263"/>
      <c r="Q2" s="1263"/>
      <c r="R2" s="1263"/>
      <c r="S2" s="1263"/>
      <c r="T2" s="1263"/>
      <c r="U2" s="1263"/>
      <c r="V2" s="1263"/>
      <c r="W2" s="1263"/>
      <c r="X2" s="1263"/>
      <c r="Y2" s="1263"/>
      <c r="Z2" s="1263"/>
    </row>
    <row r="3" spans="1:29" x14ac:dyDescent="0.3">
      <c r="A3" s="1263" t="s">
        <v>1831</v>
      </c>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c r="Z3" s="1263"/>
    </row>
    <row r="4" spans="1:29" x14ac:dyDescent="0.3">
      <c r="A4" s="1263" t="s">
        <v>1890</v>
      </c>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c r="Z4" s="1263"/>
    </row>
    <row r="5" spans="1:29" x14ac:dyDescent="0.3">
      <c r="A5" s="1445" t="s">
        <v>2223</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
      <c r="A6" s="1272" t="s">
        <v>869</v>
      </c>
      <c r="B6" s="1272" t="s">
        <v>1880</v>
      </c>
      <c r="C6" s="1272" t="s">
        <v>1891</v>
      </c>
      <c r="D6" s="1272"/>
      <c r="E6" s="1272"/>
      <c r="F6" s="1272"/>
      <c r="G6" s="1272"/>
      <c r="H6" s="1272"/>
      <c r="I6" s="1272"/>
      <c r="J6" s="1272"/>
      <c r="K6" s="1272"/>
      <c r="L6" s="1272"/>
      <c r="M6" s="1272"/>
      <c r="N6" s="1272"/>
      <c r="O6" s="1272" t="s">
        <v>1832</v>
      </c>
      <c r="P6" s="1272"/>
      <c r="Q6" s="1272"/>
      <c r="R6" s="1272"/>
      <c r="S6" s="1272"/>
      <c r="T6" s="1272"/>
      <c r="U6" s="1272"/>
      <c r="V6" s="1272"/>
      <c r="W6" s="1272"/>
      <c r="X6" s="1272"/>
      <c r="Y6" s="1272"/>
      <c r="Z6" s="1272"/>
      <c r="AA6" s="1269" t="s">
        <v>1873</v>
      </c>
      <c r="AB6" s="1270"/>
      <c r="AC6" s="1271"/>
    </row>
    <row r="7" spans="1:29" x14ac:dyDescent="0.3">
      <c r="A7" s="1272"/>
      <c r="B7" s="1272"/>
      <c r="C7" s="156" t="s">
        <v>1833</v>
      </c>
      <c r="D7" s="156" t="s">
        <v>1834</v>
      </c>
      <c r="E7" s="156" t="s">
        <v>1835</v>
      </c>
      <c r="F7" s="156" t="s">
        <v>1836</v>
      </c>
      <c r="G7" s="156" t="s">
        <v>1837</v>
      </c>
      <c r="H7" s="156" t="s">
        <v>1838</v>
      </c>
      <c r="I7" s="156" t="s">
        <v>1839</v>
      </c>
      <c r="J7" s="156" t="s">
        <v>1840</v>
      </c>
      <c r="K7" s="156" t="s">
        <v>1841</v>
      </c>
      <c r="L7" s="156" t="s">
        <v>1842</v>
      </c>
      <c r="M7" s="156" t="s">
        <v>1843</v>
      </c>
      <c r="N7" s="156" t="s">
        <v>1844</v>
      </c>
      <c r="O7" s="156" t="s">
        <v>1833</v>
      </c>
      <c r="P7" s="156" t="s">
        <v>1834</v>
      </c>
      <c r="Q7" s="156" t="s">
        <v>1835</v>
      </c>
      <c r="R7" s="156" t="s">
        <v>1836</v>
      </c>
      <c r="S7" s="156" t="s">
        <v>1837</v>
      </c>
      <c r="T7" s="156" t="s">
        <v>1838</v>
      </c>
      <c r="U7" s="156" t="s">
        <v>1839</v>
      </c>
      <c r="V7" s="156" t="s">
        <v>1840</v>
      </c>
      <c r="W7" s="156" t="s">
        <v>1841</v>
      </c>
      <c r="X7" s="156" t="s">
        <v>1842</v>
      </c>
      <c r="Y7" s="156" t="s">
        <v>1843</v>
      </c>
      <c r="Z7" s="156" t="s">
        <v>1844</v>
      </c>
      <c r="AA7" s="161" t="s">
        <v>1833</v>
      </c>
      <c r="AB7" s="161" t="s">
        <v>1834</v>
      </c>
      <c r="AC7" s="161" t="s">
        <v>1835</v>
      </c>
    </row>
    <row r="8" spans="1:29" x14ac:dyDescent="0.3">
      <c r="A8" s="153"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
      <c r="A9" s="153"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68"/>
    </row>
    <row r="10" spans="1:29" x14ac:dyDescent="0.3">
      <c r="A10" s="153" t="s">
        <v>1849</v>
      </c>
      <c r="B10" s="153" t="s">
        <v>1850</v>
      </c>
      <c r="C10" s="153">
        <v>86.924000000000007</v>
      </c>
      <c r="D10" s="153">
        <v>86.869</v>
      </c>
      <c r="E10" s="153">
        <v>87.171999999999997</v>
      </c>
      <c r="F10" s="153">
        <v>88.608000000000004</v>
      </c>
      <c r="G10" s="153">
        <v>90.114999999999995</v>
      </c>
      <c r="H10" s="153">
        <v>91.334999999999994</v>
      </c>
      <c r="I10" s="153">
        <v>91.619</v>
      </c>
      <c r="J10" s="153">
        <v>92.432000000000002</v>
      </c>
      <c r="K10" s="153">
        <v>92.543000000000006</v>
      </c>
      <c r="L10" s="153">
        <v>93.463999999999999</v>
      </c>
      <c r="M10" s="153">
        <v>93.86</v>
      </c>
      <c r="N10" s="153">
        <v>94.763000000000005</v>
      </c>
      <c r="O10" s="153">
        <v>95.872</v>
      </c>
      <c r="P10" s="153">
        <v>96.036000000000001</v>
      </c>
      <c r="Q10" s="153">
        <v>95.870999999999995</v>
      </c>
      <c r="R10" s="153">
        <v>96.034999999999997</v>
      </c>
      <c r="S10" s="153">
        <v>96.397999999999996</v>
      </c>
      <c r="T10" s="153">
        <v>97.09</v>
      </c>
      <c r="U10" s="153">
        <v>96.88</v>
      </c>
      <c r="V10" s="153">
        <v>97.346999999999994</v>
      </c>
      <c r="W10" s="153">
        <v>97.781999999999996</v>
      </c>
      <c r="X10" s="153">
        <v>97.207999999999998</v>
      </c>
      <c r="Y10" s="153">
        <v>96.397999999999996</v>
      </c>
      <c r="Z10" s="153">
        <v>96.111000000000004</v>
      </c>
      <c r="AA10" s="47"/>
      <c r="AB10" s="35"/>
      <c r="AC10" s="168"/>
    </row>
    <row r="11" spans="1:29" x14ac:dyDescent="0.3">
      <c r="A11" s="153" t="s">
        <v>1851</v>
      </c>
      <c r="B11" s="153" t="s">
        <v>1852</v>
      </c>
      <c r="C11" s="153">
        <v>99.802000000000007</v>
      </c>
      <c r="D11" s="153">
        <v>100.465</v>
      </c>
      <c r="E11" s="153">
        <v>101.476</v>
      </c>
      <c r="F11" s="153">
        <v>101.63200000000001</v>
      </c>
      <c r="G11" s="153">
        <v>101.855</v>
      </c>
      <c r="H11" s="153">
        <v>102.4</v>
      </c>
      <c r="I11" s="153">
        <v>103</v>
      </c>
      <c r="J11" s="153">
        <v>103.449</v>
      </c>
      <c r="K11" s="153">
        <v>104.024</v>
      </c>
      <c r="L11" s="153">
        <v>105.19</v>
      </c>
      <c r="M11" s="153">
        <v>106.107</v>
      </c>
      <c r="N11" s="153">
        <v>106.61</v>
      </c>
      <c r="O11" s="153">
        <v>107.404</v>
      </c>
      <c r="P11" s="153">
        <v>109.376</v>
      </c>
      <c r="Q11" s="153">
        <v>112.557</v>
      </c>
      <c r="R11" s="153">
        <v>112.134</v>
      </c>
      <c r="S11" s="153">
        <v>113.511</v>
      </c>
      <c r="T11" s="153">
        <v>115.94</v>
      </c>
      <c r="U11" s="153">
        <v>115.297</v>
      </c>
      <c r="V11" s="153">
        <v>114.367</v>
      </c>
      <c r="W11" s="153">
        <v>113.89</v>
      </c>
      <c r="X11" s="153">
        <v>114.836</v>
      </c>
      <c r="Y11" s="153">
        <v>114.70399999999999</v>
      </c>
      <c r="Z11" s="153">
        <v>113.565</v>
      </c>
      <c r="AA11" s="47"/>
      <c r="AB11" s="35"/>
      <c r="AC11" s="168"/>
    </row>
    <row r="12" spans="1:29" x14ac:dyDescent="0.3">
      <c r="A12" s="153"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68"/>
    </row>
    <row r="13" spans="1:29" x14ac:dyDescent="0.3">
      <c r="A13" s="153" t="s">
        <v>1880</v>
      </c>
      <c r="B13" s="153" t="s">
        <v>1855</v>
      </c>
      <c r="C13" s="153" t="s">
        <v>1880</v>
      </c>
      <c r="D13" s="153" t="s">
        <v>1880</v>
      </c>
      <c r="E13" s="153" t="s">
        <v>1880</v>
      </c>
      <c r="F13" s="153" t="s">
        <v>1880</v>
      </c>
      <c r="G13" s="153" t="s">
        <v>1880</v>
      </c>
      <c r="H13" s="153" t="s">
        <v>1880</v>
      </c>
      <c r="I13" s="153" t="s">
        <v>1880</v>
      </c>
      <c r="J13" s="153" t="s">
        <v>1880</v>
      </c>
      <c r="K13" s="153" t="s">
        <v>1880</v>
      </c>
      <c r="L13" s="153" t="s">
        <v>1880</v>
      </c>
      <c r="M13" s="153" t="s">
        <v>1880</v>
      </c>
      <c r="N13" s="153" t="s">
        <v>1880</v>
      </c>
      <c r="O13" s="153" t="s">
        <v>1880</v>
      </c>
      <c r="P13" s="153" t="s">
        <v>1880</v>
      </c>
      <c r="Q13" s="153" t="s">
        <v>1880</v>
      </c>
      <c r="R13" s="153" t="s">
        <v>1880</v>
      </c>
      <c r="S13" s="153" t="s">
        <v>1880</v>
      </c>
      <c r="T13" s="153" t="s">
        <v>1880</v>
      </c>
      <c r="U13" s="153" t="s">
        <v>1880</v>
      </c>
      <c r="V13" s="153" t="s">
        <v>1880</v>
      </c>
      <c r="W13" s="153" t="s">
        <v>1880</v>
      </c>
      <c r="X13" s="153" t="s">
        <v>1880</v>
      </c>
      <c r="Y13" s="153" t="s">
        <v>1880</v>
      </c>
      <c r="Z13" s="153" t="s">
        <v>1880</v>
      </c>
      <c r="AA13" s="47"/>
      <c r="AB13" s="35"/>
      <c r="AC13" s="168"/>
    </row>
    <row r="14" spans="1:29" x14ac:dyDescent="0.3">
      <c r="A14" s="153" t="s">
        <v>1856</v>
      </c>
      <c r="B14" s="153" t="s">
        <v>1857</v>
      </c>
      <c r="C14" s="153">
        <v>114.782</v>
      </c>
      <c r="D14" s="153">
        <v>114.97499999999999</v>
      </c>
      <c r="E14" s="153">
        <v>115.45699999999999</v>
      </c>
      <c r="F14" s="153">
        <v>116.18600000000001</v>
      </c>
      <c r="G14" s="153">
        <v>116.78700000000001</v>
      </c>
      <c r="H14" s="153">
        <v>117.349</v>
      </c>
      <c r="I14" s="153">
        <v>117.81100000000001</v>
      </c>
      <c r="J14" s="153">
        <v>118.199</v>
      </c>
      <c r="K14" s="153">
        <v>118.446</v>
      </c>
      <c r="L14" s="153">
        <v>118.929</v>
      </c>
      <c r="M14" s="153">
        <v>119.54300000000001</v>
      </c>
      <c r="N14" s="153">
        <v>120.193</v>
      </c>
      <c r="O14" s="153">
        <v>120.761</v>
      </c>
      <c r="P14" s="153">
        <v>121.205</v>
      </c>
      <c r="Q14" s="153">
        <v>121.651</v>
      </c>
      <c r="R14" s="153">
        <v>122.03</v>
      </c>
      <c r="S14" s="153">
        <v>122.488</v>
      </c>
      <c r="T14" s="153">
        <v>123.258</v>
      </c>
      <c r="U14" s="153">
        <v>123.352</v>
      </c>
      <c r="V14" s="153">
        <v>124.03100000000001</v>
      </c>
      <c r="W14" s="153">
        <v>124.607</v>
      </c>
      <c r="X14" s="153">
        <v>124.935</v>
      </c>
      <c r="Y14" s="153">
        <v>125.13200000000001</v>
      </c>
      <c r="Z14" s="153">
        <v>125.503</v>
      </c>
      <c r="AA14" s="47"/>
      <c r="AB14" s="35"/>
      <c r="AC14" s="168"/>
    </row>
    <row r="15" spans="1:29" x14ac:dyDescent="0.3">
      <c r="A15" s="153" t="s">
        <v>1858</v>
      </c>
      <c r="B15" s="153" t="s">
        <v>1859</v>
      </c>
      <c r="C15" s="153">
        <v>108.717</v>
      </c>
      <c r="D15" s="153">
        <v>109.011</v>
      </c>
      <c r="E15" s="153">
        <v>109.259</v>
      </c>
      <c r="F15" s="153">
        <v>109.633</v>
      </c>
      <c r="G15" s="153">
        <v>109.985</v>
      </c>
      <c r="H15" s="153">
        <v>110.67</v>
      </c>
      <c r="I15" s="153">
        <v>111.321</v>
      </c>
      <c r="J15" s="153">
        <v>111.783</v>
      </c>
      <c r="K15" s="153">
        <v>112.94499999999999</v>
      </c>
      <c r="L15" s="153">
        <v>113.773</v>
      </c>
      <c r="M15" s="153">
        <v>114.502</v>
      </c>
      <c r="N15" s="153">
        <v>114.864</v>
      </c>
      <c r="O15" s="153">
        <v>115.857</v>
      </c>
      <c r="P15" s="153">
        <v>117.517</v>
      </c>
      <c r="Q15" s="153">
        <v>119.119</v>
      </c>
      <c r="R15" s="153">
        <v>120.371</v>
      </c>
      <c r="S15" s="153">
        <v>121.849</v>
      </c>
      <c r="T15" s="153">
        <v>123.053</v>
      </c>
      <c r="U15" s="153">
        <v>124.623</v>
      </c>
      <c r="V15" s="153">
        <v>125.58799999999999</v>
      </c>
      <c r="W15" s="153">
        <v>126.366</v>
      </c>
      <c r="X15" s="153">
        <v>126.934</v>
      </c>
      <c r="Y15" s="153">
        <v>127.371</v>
      </c>
      <c r="Z15" s="153">
        <v>127.675</v>
      </c>
      <c r="AA15" s="47"/>
      <c r="AB15" s="35"/>
      <c r="AC15" s="168"/>
    </row>
    <row r="16" spans="1:29" x14ac:dyDescent="0.3">
      <c r="A16" s="153" t="s">
        <v>1860</v>
      </c>
      <c r="B16" s="153" t="s">
        <v>1861</v>
      </c>
      <c r="C16" s="153">
        <v>83.465999999999994</v>
      </c>
      <c r="D16" s="153">
        <v>87.337000000000003</v>
      </c>
      <c r="E16" s="153">
        <v>92.162000000000006</v>
      </c>
      <c r="F16" s="153">
        <v>90.917000000000002</v>
      </c>
      <c r="G16" s="153">
        <v>91.519000000000005</v>
      </c>
      <c r="H16" s="153">
        <v>93.471000000000004</v>
      </c>
      <c r="I16" s="153">
        <v>95.004000000000005</v>
      </c>
      <c r="J16" s="153">
        <v>96.728999999999999</v>
      </c>
      <c r="K16" s="153">
        <v>97.88</v>
      </c>
      <c r="L16" s="153">
        <v>101.735</v>
      </c>
      <c r="M16" s="153">
        <v>104.42400000000001</v>
      </c>
      <c r="N16" s="153">
        <v>105.376</v>
      </c>
      <c r="O16" s="153">
        <v>106.527</v>
      </c>
      <c r="P16" s="153">
        <v>110.572</v>
      </c>
      <c r="Q16" s="153">
        <v>123.81</v>
      </c>
      <c r="R16" s="153">
        <v>119.991</v>
      </c>
      <c r="S16" s="153">
        <v>124.726</v>
      </c>
      <c r="T16" s="153">
        <v>134.256</v>
      </c>
      <c r="U16" s="153">
        <v>127.651</v>
      </c>
      <c r="V16" s="153">
        <v>120.47499999999999</v>
      </c>
      <c r="W16" s="153">
        <v>117.581</v>
      </c>
      <c r="X16" s="153">
        <v>120.529</v>
      </c>
      <c r="Y16" s="153">
        <v>118.708</v>
      </c>
      <c r="Z16" s="153">
        <v>112.634</v>
      </c>
      <c r="AA16" s="47"/>
      <c r="AB16" s="35"/>
      <c r="AC16" s="168"/>
    </row>
    <row r="17" spans="1:32" x14ac:dyDescent="0.3">
      <c r="A17" s="153" t="s">
        <v>1862</v>
      </c>
      <c r="B17" s="153" t="s">
        <v>1863</v>
      </c>
      <c r="C17" s="153">
        <v>109.682</v>
      </c>
      <c r="D17" s="153">
        <v>110.125</v>
      </c>
      <c r="E17" s="153">
        <v>110.774</v>
      </c>
      <c r="F17" s="153">
        <v>111.247</v>
      </c>
      <c r="G17" s="153">
        <v>111.73399999999999</v>
      </c>
      <c r="H17" s="153">
        <v>112.292</v>
      </c>
      <c r="I17" s="153">
        <v>112.818</v>
      </c>
      <c r="J17" s="153">
        <v>113.22199999999999</v>
      </c>
      <c r="K17" s="153">
        <v>113.54300000000001</v>
      </c>
      <c r="L17" s="153">
        <v>114.292</v>
      </c>
      <c r="M17" s="153">
        <v>114.9</v>
      </c>
      <c r="N17" s="153">
        <v>115.499</v>
      </c>
      <c r="O17" s="153">
        <v>116.179</v>
      </c>
      <c r="P17" s="153">
        <v>117.042</v>
      </c>
      <c r="Q17" s="153">
        <v>118.312</v>
      </c>
      <c r="R17" s="153">
        <v>118.494</v>
      </c>
      <c r="S17" s="153">
        <v>119.295</v>
      </c>
      <c r="T17" s="153">
        <v>120.56100000000001</v>
      </c>
      <c r="U17" s="153">
        <v>120.541</v>
      </c>
      <c r="V17" s="153">
        <v>120.72799999999999</v>
      </c>
      <c r="W17" s="153">
        <v>121.08499999999999</v>
      </c>
      <c r="X17" s="153">
        <v>121.627</v>
      </c>
      <c r="Y17" s="153">
        <v>121.63800000000001</v>
      </c>
      <c r="Z17" s="153">
        <v>121.74299999999999</v>
      </c>
      <c r="AA17" s="47"/>
      <c r="AB17" s="35"/>
      <c r="AC17" s="168"/>
    </row>
    <row r="18" spans="1:32" x14ac:dyDescent="0.3">
      <c r="A18" s="153" t="s">
        <v>1864</v>
      </c>
      <c r="B18" s="153" t="s">
        <v>1865</v>
      </c>
      <c r="C18" s="153">
        <v>111.714</v>
      </c>
      <c r="D18" s="153">
        <v>111.956</v>
      </c>
      <c r="E18" s="153">
        <v>112.386</v>
      </c>
      <c r="F18" s="153">
        <v>112.97499999999999</v>
      </c>
      <c r="G18" s="153">
        <v>113.47</v>
      </c>
      <c r="H18" s="153">
        <v>113.92700000000001</v>
      </c>
      <c r="I18" s="153">
        <v>114.377</v>
      </c>
      <c r="J18" s="153">
        <v>114.691</v>
      </c>
      <c r="K18" s="153">
        <v>114.873</v>
      </c>
      <c r="L18" s="153">
        <v>115.42</v>
      </c>
      <c r="M18" s="153">
        <v>115.887</v>
      </c>
      <c r="N18" s="153">
        <v>116.489</v>
      </c>
      <c r="O18" s="153">
        <v>117.11</v>
      </c>
      <c r="P18" s="153">
        <v>117.697</v>
      </c>
      <c r="Q18" s="153">
        <v>118.19499999999999</v>
      </c>
      <c r="R18" s="153">
        <v>118.52200000000001</v>
      </c>
      <c r="S18" s="153">
        <v>119.01600000000001</v>
      </c>
      <c r="T18" s="153">
        <v>119.785</v>
      </c>
      <c r="U18" s="153">
        <v>120.018</v>
      </c>
      <c r="V18" s="153">
        <v>120.58</v>
      </c>
      <c r="W18" s="153">
        <v>121.09699999999999</v>
      </c>
      <c r="X18" s="153">
        <v>121.491</v>
      </c>
      <c r="Y18" s="153">
        <v>121.571</v>
      </c>
      <c r="Z18" s="153">
        <v>122.032</v>
      </c>
      <c r="AA18" s="169"/>
      <c r="AB18" s="36"/>
      <c r="AC18" s="170"/>
    </row>
    <row r="19" spans="1:32" ht="15.6" customHeight="1" x14ac:dyDescent="0.4">
      <c r="A19" s="1266" t="s">
        <v>1866</v>
      </c>
      <c r="B19" s="1267"/>
      <c r="C19" s="1267"/>
      <c r="D19" s="1267"/>
      <c r="E19" s="1267"/>
      <c r="F19" s="1267"/>
      <c r="G19" s="1267"/>
      <c r="H19" s="1267"/>
      <c r="I19" s="1267"/>
      <c r="J19" s="1267"/>
      <c r="K19" s="1267"/>
      <c r="L19" s="1267"/>
      <c r="M19" s="1267"/>
      <c r="N19" s="1267"/>
      <c r="O19" s="1267"/>
      <c r="P19" s="1267"/>
      <c r="Q19" s="1267"/>
      <c r="R19" s="1267"/>
      <c r="S19" s="1267"/>
      <c r="T19" s="1267"/>
      <c r="U19" s="1267"/>
      <c r="V19" s="1267"/>
      <c r="W19" s="1267"/>
      <c r="X19" s="1267"/>
      <c r="Y19" s="1267"/>
      <c r="Z19" s="1267"/>
      <c r="AA19" s="1267"/>
    </row>
    <row r="20" spans="1:32" x14ac:dyDescent="0.3">
      <c r="A20" s="1268" t="s">
        <v>1867</v>
      </c>
      <c r="B20" s="1267"/>
      <c r="C20" s="1267"/>
      <c r="D20" s="1267"/>
      <c r="E20" s="1267"/>
      <c r="F20" s="1267"/>
      <c r="G20" s="1267"/>
      <c r="H20" s="1267"/>
      <c r="I20" s="1267"/>
      <c r="J20" s="1267"/>
      <c r="K20" s="1267"/>
      <c r="L20" s="1267"/>
      <c r="M20" s="1267"/>
      <c r="N20" s="1267"/>
      <c r="O20" s="1267"/>
      <c r="P20" s="1267"/>
      <c r="Q20" s="1267"/>
      <c r="R20" s="1267"/>
      <c r="S20" s="1267"/>
      <c r="T20" s="1267"/>
      <c r="U20" s="1267"/>
      <c r="V20" s="1267"/>
      <c r="W20" s="1267"/>
      <c r="X20" s="1267"/>
      <c r="Y20" s="1267"/>
      <c r="Z20" s="1267"/>
      <c r="AA20" s="1267"/>
    </row>
    <row r="21" spans="1:32" x14ac:dyDescent="0.3">
      <c r="A21" s="1268" t="s">
        <v>1868</v>
      </c>
      <c r="B21" s="1267"/>
      <c r="C21" s="1267"/>
      <c r="D21" s="1267"/>
      <c r="E21" s="1267"/>
      <c r="F21" s="1267"/>
      <c r="G21" s="1267"/>
      <c r="H21" s="1267"/>
      <c r="I21" s="1267"/>
      <c r="J21" s="1267"/>
      <c r="K21" s="1267"/>
      <c r="L21" s="1267"/>
      <c r="M21" s="1267"/>
      <c r="N21" s="1267"/>
      <c r="O21" s="1267"/>
      <c r="P21" s="1267"/>
      <c r="Q21" s="1267"/>
      <c r="R21" s="1267"/>
      <c r="S21" s="1267"/>
      <c r="T21" s="1267"/>
      <c r="U21" s="1267"/>
      <c r="V21" s="1267"/>
      <c r="W21" s="1267"/>
      <c r="X21" s="1267"/>
      <c r="Y21" s="1267"/>
      <c r="Z21" s="1267"/>
      <c r="AA21" s="1267"/>
    </row>
    <row r="22" spans="1:32" x14ac:dyDescent="0.3">
      <c r="A22" s="1268" t="s">
        <v>1869</v>
      </c>
      <c r="B22" s="1267"/>
      <c r="C22" s="1267"/>
      <c r="D22" s="1267"/>
      <c r="E22" s="1267"/>
      <c r="F22" s="1267"/>
      <c r="G22" s="1267"/>
      <c r="H22" s="1267"/>
      <c r="I22" s="1267"/>
      <c r="J22" s="1267"/>
      <c r="K22" s="1267"/>
      <c r="L22" s="1267"/>
      <c r="M22" s="1267"/>
      <c r="N22" s="1267"/>
      <c r="O22" s="1267"/>
      <c r="P22" s="1267"/>
      <c r="Q22" s="1267"/>
      <c r="R22" s="1267"/>
      <c r="S22" s="1267"/>
      <c r="T22" s="1267"/>
      <c r="U22" s="1267"/>
      <c r="V22" s="1267"/>
      <c r="W22" s="1267"/>
      <c r="X22" s="1267"/>
      <c r="Y22" s="1267"/>
      <c r="Z22" s="1267"/>
      <c r="AA22" s="1267"/>
    </row>
    <row r="23" spans="1:32" x14ac:dyDescent="0.3">
      <c r="A23" s="155"/>
    </row>
    <row r="24" spans="1:32" x14ac:dyDescent="0.3">
      <c r="A24" s="155"/>
    </row>
    <row r="25" spans="1:32" x14ac:dyDescent="0.3">
      <c r="A25" s="155"/>
    </row>
    <row r="26" spans="1:32" x14ac:dyDescent="0.3">
      <c r="A26" s="155"/>
    </row>
    <row r="27" spans="1:32" x14ac:dyDescent="0.3">
      <c r="A27" s="155"/>
      <c r="B27" s="166" t="s">
        <v>1870</v>
      </c>
      <c r="C27" s="1265" t="s">
        <v>325</v>
      </c>
      <c r="D27" s="1265"/>
      <c r="E27" s="1265"/>
      <c r="F27" s="1265"/>
      <c r="G27" s="1265"/>
      <c r="H27" s="1265"/>
      <c r="I27" s="1265"/>
      <c r="J27" s="1265"/>
      <c r="K27" s="1265"/>
      <c r="L27" s="1265"/>
      <c r="M27" s="1265"/>
      <c r="N27" s="1265"/>
      <c r="O27" s="1265"/>
      <c r="P27" s="1265"/>
      <c r="Q27" s="1265"/>
      <c r="R27" s="1265"/>
      <c r="S27" s="1265"/>
      <c r="T27" s="1265"/>
      <c r="U27" s="1265"/>
      <c r="V27" s="1265"/>
      <c r="W27" s="1265"/>
      <c r="X27" s="1265"/>
      <c r="Y27" s="1265"/>
      <c r="Z27" s="154"/>
      <c r="AA27" s="172" t="s">
        <v>1882</v>
      </c>
    </row>
    <row r="28" spans="1:32" x14ac:dyDescent="0.3">
      <c r="A28" s="155"/>
      <c r="C28" s="1265">
        <v>2021</v>
      </c>
      <c r="D28" s="1265"/>
      <c r="E28" s="1265"/>
      <c r="F28" s="1265"/>
      <c r="G28" s="1265"/>
      <c r="H28" s="1265"/>
      <c r="I28" s="1265"/>
      <c r="J28" s="1265"/>
      <c r="K28" s="1265"/>
      <c r="L28" s="1265"/>
      <c r="M28" s="1265"/>
      <c r="N28" s="1265"/>
      <c r="O28" s="1265">
        <v>2022</v>
      </c>
      <c r="P28" s="1265"/>
      <c r="Q28" s="1265"/>
      <c r="R28" s="1265"/>
      <c r="S28" s="1265"/>
      <c r="T28" s="1265"/>
      <c r="U28" s="1265"/>
      <c r="V28" s="1265"/>
      <c r="W28" s="1265"/>
      <c r="X28" s="1265"/>
      <c r="Y28" s="1265"/>
      <c r="Z28" s="154"/>
      <c r="AA28" s="172"/>
      <c r="AB28" s="35"/>
      <c r="AC28" s="35"/>
      <c r="AD28" s="35"/>
    </row>
    <row r="29" spans="1:32" x14ac:dyDescent="0.3">
      <c r="A29" s="155"/>
      <c r="C29" s="156" t="s">
        <v>1833</v>
      </c>
      <c r="D29" s="156" t="s">
        <v>1834</v>
      </c>
      <c r="E29" s="156" t="s">
        <v>1835</v>
      </c>
      <c r="F29" s="156" t="s">
        <v>1836</v>
      </c>
      <c r="G29" s="156" t="s">
        <v>1837</v>
      </c>
      <c r="H29" s="156" t="s">
        <v>1838</v>
      </c>
      <c r="I29" s="156" t="s">
        <v>1839</v>
      </c>
      <c r="J29" s="156" t="s">
        <v>1840</v>
      </c>
      <c r="K29" s="156" t="s">
        <v>1841</v>
      </c>
      <c r="L29" s="156" t="s">
        <v>1842</v>
      </c>
      <c r="M29" s="156" t="s">
        <v>1843</v>
      </c>
      <c r="N29" s="156" t="s">
        <v>1844</v>
      </c>
      <c r="O29" s="156" t="s">
        <v>1833</v>
      </c>
      <c r="P29" s="156" t="s">
        <v>1834</v>
      </c>
      <c r="Q29" s="156" t="s">
        <v>1835</v>
      </c>
      <c r="R29" s="156" t="s">
        <v>1836</v>
      </c>
      <c r="S29" s="156" t="s">
        <v>1837</v>
      </c>
      <c r="T29" s="156" t="s">
        <v>1838</v>
      </c>
      <c r="U29" s="156" t="s">
        <v>1839</v>
      </c>
      <c r="V29" s="156" t="s">
        <v>1840</v>
      </c>
      <c r="W29" s="156" t="s">
        <v>1841</v>
      </c>
      <c r="X29" s="156" t="s">
        <v>1842</v>
      </c>
      <c r="Y29" s="156" t="s">
        <v>1843</v>
      </c>
      <c r="Z29" s="160"/>
      <c r="AA29" s="167" t="s">
        <v>1844</v>
      </c>
      <c r="AB29" s="164" t="s">
        <v>1833</v>
      </c>
      <c r="AC29" s="164" t="s">
        <v>1834</v>
      </c>
      <c r="AD29" s="35"/>
      <c r="AE29" s="175" t="s">
        <v>1874</v>
      </c>
      <c r="AF29" s="35"/>
    </row>
    <row r="30" spans="1:32" x14ac:dyDescent="0.3">
      <c r="A30" s="155"/>
      <c r="B30" s="74" t="s">
        <v>1846</v>
      </c>
      <c r="D30" s="165">
        <f>(D8/C8)^(12)-1</f>
        <v>4.1042680162006073E-2</v>
      </c>
      <c r="E30" s="165">
        <f t="shared" ref="E30:Z30" si="1">(E8/D8)^(12)-1</f>
        <v>7.3656770386894443E-2</v>
      </c>
      <c r="F30" s="165">
        <f t="shared" si="1"/>
        <v>6.5906931976990268E-2</v>
      </c>
      <c r="G30" s="165">
        <f t="shared" si="1"/>
        <v>6.2766918615354106E-2</v>
      </c>
      <c r="H30" s="165">
        <f t="shared" si="1"/>
        <v>6.8865947836563857E-2</v>
      </c>
      <c r="I30" s="165">
        <f t="shared" si="1"/>
        <v>5.6278625527978576E-2</v>
      </c>
      <c r="J30" s="165">
        <f t="shared" si="1"/>
        <v>4.8427810693439044E-2</v>
      </c>
      <c r="K30" s="165">
        <f t="shared" si="1"/>
        <v>3.8163290994450927E-2</v>
      </c>
      <c r="L30" s="165">
        <f t="shared" si="1"/>
        <v>7.1153811599884431E-2</v>
      </c>
      <c r="M30" s="165">
        <f t="shared" si="1"/>
        <v>7.6184730021106928E-2</v>
      </c>
      <c r="N30" s="165">
        <f t="shared" si="1"/>
        <v>6.7052658631531425E-2</v>
      </c>
      <c r="O30" s="165">
        <f t="shared" si="1"/>
        <v>6.5288334451285346E-2</v>
      </c>
      <c r="P30" s="165">
        <f t="shared" si="1"/>
        <v>7.3586210362064142E-2</v>
      </c>
      <c r="Q30" s="165">
        <f t="shared" si="1"/>
        <v>0.12029425742902733</v>
      </c>
      <c r="R30" s="165">
        <f t="shared" si="1"/>
        <v>2.420085779508252E-2</v>
      </c>
      <c r="S30" s="165">
        <f t="shared" si="1"/>
        <v>7.5228018520828943E-2</v>
      </c>
      <c r="T30" s="165">
        <f t="shared" si="1"/>
        <v>0.12562146420345077</v>
      </c>
      <c r="U30" s="165">
        <f t="shared" si="1"/>
        <v>-1.1115964136614309E-2</v>
      </c>
      <c r="V30" s="165">
        <f t="shared" si="1"/>
        <v>3.26679483742216E-2</v>
      </c>
      <c r="W30" s="165">
        <f t="shared" si="1"/>
        <v>4.210788235244034E-2</v>
      </c>
      <c r="X30" s="165">
        <f t="shared" si="1"/>
        <v>4.6284580163938438E-2</v>
      </c>
      <c r="Y30" s="165">
        <f t="shared" si="1"/>
        <v>1.1713559962372999E-2</v>
      </c>
      <c r="Z30" s="165">
        <f t="shared" si="1"/>
        <v>6.2707566313164875E-3</v>
      </c>
      <c r="AA30" s="171">
        <f>AE30</f>
        <v>2.2499999999999999E-2</v>
      </c>
      <c r="AB30" s="171">
        <f>AA30</f>
        <v>2.2499999999999999E-2</v>
      </c>
      <c r="AC30" s="171">
        <f>AB30</f>
        <v>2.2499999999999999E-2</v>
      </c>
      <c r="AD30" s="35"/>
      <c r="AE30" s="174">
        <v>2.2499999999999999E-2</v>
      </c>
      <c r="AF30" s="35" t="s">
        <v>1875</v>
      </c>
    </row>
    <row r="31" spans="1:32" x14ac:dyDescent="0.3">
      <c r="A31" s="155"/>
      <c r="B31" s="74" t="s">
        <v>1848</v>
      </c>
      <c r="D31" s="165">
        <f t="shared" ref="D31:Z31" si="2">(D9/C9)^(12)-1</f>
        <v>4.7852702682074089E-2</v>
      </c>
      <c r="E31" s="165">
        <f t="shared" si="2"/>
        <v>9.3990376547193E-2</v>
      </c>
      <c r="F31" s="165">
        <f t="shared" si="2"/>
        <v>9.0157721904044807E-2</v>
      </c>
      <c r="G31" s="165">
        <f t="shared" si="2"/>
        <v>9.7937681358029272E-2</v>
      </c>
      <c r="H31" s="165">
        <f t="shared" si="2"/>
        <v>0.10571994524004813</v>
      </c>
      <c r="I31" s="165">
        <f t="shared" si="2"/>
        <v>5.9314030950316399E-2</v>
      </c>
      <c r="J31" s="165">
        <f t="shared" si="2"/>
        <v>7.4559369880963899E-2</v>
      </c>
      <c r="K31" s="165">
        <f t="shared" si="2"/>
        <v>4.8439393408400866E-2</v>
      </c>
      <c r="L31" s="165">
        <f t="shared" si="2"/>
        <v>0.13669129570635752</v>
      </c>
      <c r="M31" s="165">
        <f t="shared" si="2"/>
        <v>8.8006180889502517E-2</v>
      </c>
      <c r="N31" s="165">
        <f t="shared" si="2"/>
        <v>8.1786027991030075E-2</v>
      </c>
      <c r="O31" s="165">
        <f t="shared" si="2"/>
        <v>0.11461082577636561</v>
      </c>
      <c r="P31" s="165">
        <f t="shared" si="2"/>
        <v>0.15488876520850492</v>
      </c>
      <c r="Q31" s="165">
        <f t="shared" si="2"/>
        <v>0.23243408487920147</v>
      </c>
      <c r="R31" s="165">
        <f t="shared" si="2"/>
        <v>-2.0953115354990115E-2</v>
      </c>
      <c r="S31" s="165">
        <f t="shared" si="2"/>
        <v>0.11512974514483676</v>
      </c>
      <c r="T31" s="165">
        <f t="shared" si="2"/>
        <v>0.21267713141662403</v>
      </c>
      <c r="U31" s="165">
        <f t="shared" si="2"/>
        <v>-5.0673511435372243E-2</v>
      </c>
      <c r="V31" s="165">
        <f t="shared" si="2"/>
        <v>-3.967131618295705E-2</v>
      </c>
      <c r="W31" s="165">
        <f t="shared" si="2"/>
        <v>-1.2009165772774555E-2</v>
      </c>
      <c r="X31" s="165">
        <f t="shared" si="2"/>
        <v>3.7560735525880684E-2</v>
      </c>
      <c r="Y31" s="165">
        <f t="shared" si="2"/>
        <v>-4.4292870843120391E-2</v>
      </c>
      <c r="Z31" s="165">
        <f t="shared" si="2"/>
        <v>-8.5358464165969816E-2</v>
      </c>
      <c r="AA31" s="35"/>
      <c r="AB31" s="35"/>
      <c r="AC31" s="35"/>
      <c r="AD31" s="35"/>
    </row>
    <row r="32" spans="1:32" x14ac:dyDescent="0.3">
      <c r="A32" s="155"/>
      <c r="B32" t="s">
        <v>1850</v>
      </c>
      <c r="D32" s="165">
        <f t="shared" ref="D32:Z32" si="3">(D10/C10)^(12)-1</f>
        <v>-7.5664718995666069E-3</v>
      </c>
      <c r="E32" s="165">
        <f t="shared" si="3"/>
        <v>4.266850819250112E-2</v>
      </c>
      <c r="F32" s="165">
        <f t="shared" si="3"/>
        <v>0.21660917290096582</v>
      </c>
      <c r="G32" s="165">
        <f t="shared" si="3"/>
        <v>0.22430559919810955</v>
      </c>
      <c r="H32" s="165">
        <f t="shared" si="3"/>
        <v>0.17511874187668353</v>
      </c>
      <c r="I32" s="165">
        <f t="shared" si="3"/>
        <v>3.795797382041366E-2</v>
      </c>
      <c r="J32" s="165">
        <f t="shared" si="3"/>
        <v>0.11183831318895598</v>
      </c>
      <c r="K32" s="165">
        <f t="shared" si="3"/>
        <v>1.4506155653571495E-2</v>
      </c>
      <c r="L32" s="165">
        <f t="shared" si="3"/>
        <v>0.12618431747599668</v>
      </c>
      <c r="M32" s="165">
        <f t="shared" si="3"/>
        <v>5.2044800480764541E-2</v>
      </c>
      <c r="N32" s="165">
        <f t="shared" si="3"/>
        <v>0.12175758567831618</v>
      </c>
      <c r="O32" s="165">
        <f t="shared" si="3"/>
        <v>0.14983582216551206</v>
      </c>
      <c r="P32" s="165">
        <f t="shared" si="3"/>
        <v>2.0721604560002937E-2</v>
      </c>
      <c r="Q32" s="165">
        <f t="shared" si="3"/>
        <v>-2.0423555429524787E-2</v>
      </c>
      <c r="R32" s="165">
        <f t="shared" si="3"/>
        <v>2.0721822738088314E-2</v>
      </c>
      <c r="S32" s="165">
        <f t="shared" si="3"/>
        <v>4.6313416239633698E-2</v>
      </c>
      <c r="T32" s="165">
        <f t="shared" si="3"/>
        <v>8.9626684643578036E-2</v>
      </c>
      <c r="U32" s="165">
        <f t="shared" si="3"/>
        <v>-2.564874569369624E-2</v>
      </c>
      <c r="V32" s="165">
        <f t="shared" si="3"/>
        <v>5.9403258043756235E-2</v>
      </c>
      <c r="W32" s="165">
        <f t="shared" si="3"/>
        <v>5.49603210423244E-2</v>
      </c>
      <c r="X32" s="165">
        <f t="shared" si="3"/>
        <v>-6.8212021435523074E-2</v>
      </c>
      <c r="Y32" s="165">
        <f t="shared" si="3"/>
        <v>-9.5534119782068272E-2</v>
      </c>
      <c r="Z32" s="165">
        <f t="shared" si="3"/>
        <v>-3.5147628118349261E-2</v>
      </c>
      <c r="AA32" s="35"/>
      <c r="AB32" s="35"/>
      <c r="AC32" s="35"/>
      <c r="AD32" s="35"/>
    </row>
    <row r="33" spans="1:45" x14ac:dyDescent="0.3">
      <c r="A33" s="155"/>
      <c r="B33" t="s">
        <v>1852</v>
      </c>
      <c r="D33" s="165">
        <f t="shared" ref="D33:Z33" si="4">(D11/C11)^(12)-1</f>
        <v>8.2695991789366596E-2</v>
      </c>
      <c r="E33" s="165">
        <f t="shared" si="4"/>
        <v>0.12767152587874242</v>
      </c>
      <c r="F33" s="165">
        <f t="shared" si="4"/>
        <v>1.8604492954842566E-2</v>
      </c>
      <c r="G33" s="165">
        <f t="shared" si="4"/>
        <v>2.6650380476038515E-2</v>
      </c>
      <c r="H33" s="165">
        <f t="shared" si="4"/>
        <v>6.6132646674121442E-2</v>
      </c>
      <c r="I33" s="165">
        <f t="shared" si="4"/>
        <v>7.2623275591077174E-2</v>
      </c>
      <c r="J33" s="165">
        <f t="shared" si="4"/>
        <v>5.3583270512252978E-2</v>
      </c>
      <c r="K33" s="165">
        <f t="shared" si="4"/>
        <v>6.8776834563306188E-2</v>
      </c>
      <c r="L33" s="165">
        <f t="shared" si="4"/>
        <v>0.14311748267808033</v>
      </c>
      <c r="M33" s="165">
        <f t="shared" si="4"/>
        <v>0.10977507787605911</v>
      </c>
      <c r="N33" s="165">
        <f t="shared" si="4"/>
        <v>5.8392835152005329E-2</v>
      </c>
      <c r="O33" s="165">
        <f t="shared" si="4"/>
        <v>9.3125815044879046E-2</v>
      </c>
      <c r="P33" s="165">
        <f t="shared" si="4"/>
        <v>0.24399595906104432</v>
      </c>
      <c r="Q33" s="165">
        <f t="shared" si="4"/>
        <v>0.41060581771805249</v>
      </c>
      <c r="R33" s="165">
        <f t="shared" si="4"/>
        <v>-4.4176592701257844E-2</v>
      </c>
      <c r="S33" s="165">
        <f t="shared" si="4"/>
        <v>0.15773089650212335</v>
      </c>
      <c r="T33" s="165">
        <f t="shared" si="4"/>
        <v>0.28927082760345146</v>
      </c>
      <c r="U33" s="165">
        <f t="shared" si="4"/>
        <v>-6.4558713318927374E-2</v>
      </c>
      <c r="V33" s="165">
        <f t="shared" si="4"/>
        <v>-9.2612769739008449E-2</v>
      </c>
      <c r="W33" s="165">
        <f t="shared" si="4"/>
        <v>-4.8917116413696671E-2</v>
      </c>
      <c r="X33" s="165">
        <f t="shared" si="4"/>
        <v>0.10435719253431563</v>
      </c>
      <c r="Y33" s="165">
        <f t="shared" si="4"/>
        <v>-1.3706713301895879E-2</v>
      </c>
      <c r="Z33" s="165">
        <f t="shared" si="4"/>
        <v>-0.11286174670473859</v>
      </c>
      <c r="AA33" s="35"/>
      <c r="AB33" s="35"/>
      <c r="AC33" s="35"/>
      <c r="AD33" s="35"/>
    </row>
    <row r="34" spans="1:45" x14ac:dyDescent="0.3">
      <c r="A34" s="155"/>
      <c r="B34" s="74" t="s">
        <v>1854</v>
      </c>
      <c r="D34" s="165">
        <f t="shared" ref="D34:Z34" si="5">(D12/C12)^(12)-1</f>
        <v>3.799005764470742E-2</v>
      </c>
      <c r="E34" s="165">
        <f t="shared" si="5"/>
        <v>6.3357467016105451E-2</v>
      </c>
      <c r="F34" s="165">
        <f t="shared" si="5"/>
        <v>5.3247298586749592E-2</v>
      </c>
      <c r="G34" s="165">
        <f t="shared" si="5"/>
        <v>4.4575363388868805E-2</v>
      </c>
      <c r="H34" s="165">
        <f t="shared" si="5"/>
        <v>4.9972978556659831E-2</v>
      </c>
      <c r="I34" s="165">
        <f t="shared" si="5"/>
        <v>5.4824632504445026E-2</v>
      </c>
      <c r="J34" s="165">
        <f t="shared" si="5"/>
        <v>3.5260241342689014E-2</v>
      </c>
      <c r="K34" s="165">
        <f t="shared" si="5"/>
        <v>3.2982422405918088E-2</v>
      </c>
      <c r="L34" s="165">
        <f t="shared" si="5"/>
        <v>3.8518945643091884E-2</v>
      </c>
      <c r="M34" s="165">
        <f t="shared" si="5"/>
        <v>7.0201828642715958E-2</v>
      </c>
      <c r="N34" s="165">
        <f t="shared" si="5"/>
        <v>5.9557137704392193E-2</v>
      </c>
      <c r="O34" s="165">
        <f t="shared" si="5"/>
        <v>4.0235293867976862E-2</v>
      </c>
      <c r="P34" s="165">
        <f t="shared" si="5"/>
        <v>3.2719520059437901E-2</v>
      </c>
      <c r="Q34" s="165">
        <f t="shared" si="5"/>
        <v>6.514144593018778E-2</v>
      </c>
      <c r="R34" s="165">
        <f t="shared" si="5"/>
        <v>4.8996160643866915E-2</v>
      </c>
      <c r="S34" s="165">
        <f t="shared" si="5"/>
        <v>5.4828192396408904E-2</v>
      </c>
      <c r="T34" s="165">
        <f t="shared" si="5"/>
        <v>8.2382919779997899E-2</v>
      </c>
      <c r="U34" s="165">
        <f t="shared" si="5"/>
        <v>1.052200975220785E-2</v>
      </c>
      <c r="V34" s="165">
        <f t="shared" si="5"/>
        <v>7.2610468750667234E-2</v>
      </c>
      <c r="W34" s="165">
        <f t="shared" si="5"/>
        <v>7.1201730649114836E-2</v>
      </c>
      <c r="X34" s="165">
        <f t="shared" si="5"/>
        <v>5.0673323753796407E-2</v>
      </c>
      <c r="Y34" s="165">
        <f t="shared" si="5"/>
        <v>4.170378545896658E-2</v>
      </c>
      <c r="Z34" s="165">
        <f t="shared" si="5"/>
        <v>5.5760475369509122E-2</v>
      </c>
      <c r="AA34" s="35"/>
      <c r="AB34" s="35"/>
      <c r="AC34" s="35"/>
      <c r="AD34" s="35"/>
    </row>
    <row r="35" spans="1:45" x14ac:dyDescent="0.3">
      <c r="A35" s="155"/>
      <c r="B35" t="s">
        <v>1855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35"/>
      <c r="AB35" s="35"/>
      <c r="AC35" s="35"/>
      <c r="AD35" s="35"/>
    </row>
    <row r="36" spans="1:45" x14ac:dyDescent="0.3">
      <c r="A36" s="155"/>
      <c r="B36" t="s">
        <v>1857</v>
      </c>
      <c r="D36" s="165">
        <f t="shared" ref="D36:Z36" si="6">(D14/C14)^(12)-1</f>
        <v>2.0365029271033563E-2</v>
      </c>
      <c r="E36" s="165">
        <f t="shared" si="6"/>
        <v>5.1482879592318564E-2</v>
      </c>
      <c r="F36" s="165">
        <f t="shared" si="6"/>
        <v>7.8455869418629476E-2</v>
      </c>
      <c r="G36" s="165">
        <f t="shared" si="6"/>
        <v>6.3869668258956791E-2</v>
      </c>
      <c r="H36" s="165">
        <f t="shared" si="6"/>
        <v>5.9299303350246912E-2</v>
      </c>
      <c r="I36" s="165">
        <f t="shared" si="6"/>
        <v>4.8280221057496409E-2</v>
      </c>
      <c r="J36" s="165">
        <f t="shared" si="6"/>
        <v>4.0244717542295305E-2</v>
      </c>
      <c r="K36" s="165">
        <f t="shared" si="6"/>
        <v>2.5366582122491321E-2</v>
      </c>
      <c r="L36" s="165">
        <f t="shared" si="6"/>
        <v>5.0046228788346303E-2</v>
      </c>
      <c r="M36" s="165">
        <f t="shared" si="6"/>
        <v>6.3742717313237662E-2</v>
      </c>
      <c r="N36" s="165">
        <f t="shared" si="6"/>
        <v>6.7235583186497916E-2</v>
      </c>
      <c r="O36" s="165">
        <f t="shared" si="6"/>
        <v>5.8206208718552199E-2</v>
      </c>
      <c r="P36" s="165">
        <f t="shared" si="6"/>
        <v>4.5023417871011384E-2</v>
      </c>
      <c r="Q36" s="165">
        <f t="shared" si="6"/>
        <v>4.5061307418852836E-2</v>
      </c>
      <c r="R36" s="165">
        <f t="shared" si="6"/>
        <v>3.8032941434556822E-2</v>
      </c>
      <c r="S36" s="165">
        <f t="shared" si="6"/>
        <v>4.59795327686916E-2</v>
      </c>
      <c r="T36" s="165">
        <f t="shared" si="6"/>
        <v>7.8099579395199514E-2</v>
      </c>
      <c r="U36" s="165">
        <f t="shared" si="6"/>
        <v>9.1900192457399221E-3</v>
      </c>
      <c r="V36" s="165">
        <f t="shared" si="6"/>
        <v>6.8091840581138374E-2</v>
      </c>
      <c r="W36" s="165">
        <f t="shared" si="6"/>
        <v>5.7173674500435201E-2</v>
      </c>
      <c r="X36" s="165">
        <f t="shared" si="6"/>
        <v>3.2048652721034632E-2</v>
      </c>
      <c r="Y36" s="165">
        <f t="shared" si="6"/>
        <v>1.9086804779387956E-2</v>
      </c>
      <c r="Z36" s="165">
        <f t="shared" si="6"/>
        <v>3.6164370985877436E-2</v>
      </c>
      <c r="AA36" s="35"/>
      <c r="AB36" s="35"/>
      <c r="AC36" s="35"/>
      <c r="AD36" s="35"/>
    </row>
    <row r="37" spans="1:45" x14ac:dyDescent="0.3">
      <c r="A37" s="155"/>
      <c r="B37" t="s">
        <v>1859</v>
      </c>
      <c r="D37" s="165">
        <f t="shared" ref="D37:Z37" si="7">(D15/C15)^(12)-1</f>
        <v>3.2938266631028057E-2</v>
      </c>
      <c r="E37" s="165">
        <f t="shared" si="7"/>
        <v>2.7644192136645263E-2</v>
      </c>
      <c r="F37" s="165">
        <f t="shared" si="7"/>
        <v>4.1858943940387805E-2</v>
      </c>
      <c r="G37" s="165">
        <f t="shared" si="7"/>
        <v>3.9216252076649472E-2</v>
      </c>
      <c r="H37" s="165">
        <f t="shared" si="7"/>
        <v>7.7351472587609216E-2</v>
      </c>
      <c r="I37" s="165">
        <f t="shared" si="7"/>
        <v>7.2917349757494865E-2</v>
      </c>
      <c r="J37" s="165">
        <f t="shared" si="7"/>
        <v>5.0954570797017595E-2</v>
      </c>
      <c r="K37" s="165">
        <f t="shared" si="7"/>
        <v>0.13212657821659612</v>
      </c>
      <c r="L37" s="165">
        <f t="shared" si="7"/>
        <v>9.1607223976764907E-2</v>
      </c>
      <c r="M37" s="165">
        <f t="shared" si="7"/>
        <v>7.9658361080225948E-2</v>
      </c>
      <c r="N37" s="165">
        <f t="shared" si="7"/>
        <v>3.8604886098567048E-2</v>
      </c>
      <c r="O37" s="165">
        <f t="shared" si="7"/>
        <v>0.10881760422644993</v>
      </c>
      <c r="P37" s="165">
        <f t="shared" si="7"/>
        <v>0.18615381389271946</v>
      </c>
      <c r="Q37" s="165">
        <f t="shared" si="7"/>
        <v>0.17642464112952694</v>
      </c>
      <c r="R37" s="165">
        <f t="shared" si="7"/>
        <v>0.1336786180791798</v>
      </c>
      <c r="S37" s="165">
        <f t="shared" si="7"/>
        <v>0.15771379938119745</v>
      </c>
      <c r="T37" s="165">
        <f t="shared" si="7"/>
        <v>0.12523398845374589</v>
      </c>
      <c r="U37" s="165">
        <f t="shared" si="7"/>
        <v>0.16431889623926255</v>
      </c>
      <c r="V37" s="165">
        <f t="shared" si="7"/>
        <v>9.6981521654441627E-2</v>
      </c>
      <c r="W37" s="165">
        <f t="shared" si="7"/>
        <v>7.692418537218737E-2</v>
      </c>
      <c r="X37" s="165">
        <f t="shared" si="7"/>
        <v>5.5292202512151389E-2</v>
      </c>
      <c r="Y37" s="165">
        <f t="shared" si="7"/>
        <v>4.2104114748562793E-2</v>
      </c>
      <c r="Z37" s="165">
        <f t="shared" si="7"/>
        <v>2.901971685203919E-2</v>
      </c>
      <c r="AA37" s="35"/>
      <c r="AB37" s="35"/>
      <c r="AC37" s="35"/>
      <c r="AD37" s="35"/>
    </row>
    <row r="38" spans="1:45" x14ac:dyDescent="0.3">
      <c r="B38" t="s">
        <v>1861</v>
      </c>
      <c r="D38" s="165">
        <f t="shared" ref="D38:Z38" si="8">(D16/C16)^(12)-1</f>
        <v>0.72291569588284976</v>
      </c>
      <c r="E38" s="165">
        <f t="shared" si="8"/>
        <v>0.90652914977426202</v>
      </c>
      <c r="F38" s="165">
        <f t="shared" si="8"/>
        <v>-0.15058784271851389</v>
      </c>
      <c r="G38" s="165">
        <f t="shared" si="8"/>
        <v>8.2415570773829439E-2</v>
      </c>
      <c r="H38" s="165">
        <f t="shared" si="8"/>
        <v>0.288212400240214</v>
      </c>
      <c r="I38" s="165">
        <f t="shared" si="8"/>
        <v>0.21557014107504702</v>
      </c>
      <c r="J38" s="165">
        <f t="shared" si="8"/>
        <v>0.24101686665685773</v>
      </c>
      <c r="K38" s="165">
        <f t="shared" si="8"/>
        <v>0.15251650157315622</v>
      </c>
      <c r="L38" s="165">
        <f t="shared" si="8"/>
        <v>0.58970721346460908</v>
      </c>
      <c r="M38" s="165">
        <f t="shared" si="8"/>
        <v>0.36760042472255372</v>
      </c>
      <c r="N38" s="165">
        <f t="shared" si="8"/>
        <v>0.11505581871805415</v>
      </c>
      <c r="O38" s="165">
        <f t="shared" si="8"/>
        <v>0.13924164278085938</v>
      </c>
      <c r="P38" s="165">
        <f t="shared" si="8"/>
        <v>0.56395992753520474</v>
      </c>
      <c r="Q38" s="165">
        <f t="shared" si="8"/>
        <v>2.8844246570707157</v>
      </c>
      <c r="R38" s="165">
        <f t="shared" si="8"/>
        <v>-0.31338167549989293</v>
      </c>
      <c r="S38" s="165">
        <f t="shared" si="8"/>
        <v>0.59110874420150306</v>
      </c>
      <c r="T38" s="165">
        <f t="shared" si="8"/>
        <v>1.4194714937063813</v>
      </c>
      <c r="U38" s="165">
        <f t="shared" si="8"/>
        <v>-0.45413379038575985</v>
      </c>
      <c r="V38" s="165">
        <f t="shared" si="8"/>
        <v>-0.50057237216762762</v>
      </c>
      <c r="W38" s="165">
        <f t="shared" si="8"/>
        <v>-0.25306540672645772</v>
      </c>
      <c r="X38" s="165">
        <f t="shared" si="8"/>
        <v>0.34602413381269881</v>
      </c>
      <c r="Y38" s="165">
        <f t="shared" si="8"/>
        <v>-0.16696889851534225</v>
      </c>
      <c r="Z38" s="165">
        <f t="shared" si="8"/>
        <v>-0.46755563534182565</v>
      </c>
      <c r="AA38" s="35"/>
      <c r="AB38" s="35"/>
      <c r="AC38" s="35"/>
      <c r="AD38" s="35"/>
    </row>
    <row r="39" spans="1:45" x14ac:dyDescent="0.3">
      <c r="B39" t="s">
        <v>1863</v>
      </c>
      <c r="D39" s="165">
        <f t="shared" ref="D39:Z39" si="9">(D17/C17)^(12)-1</f>
        <v>4.9558680616075268E-2</v>
      </c>
      <c r="E39" s="165">
        <f t="shared" si="9"/>
        <v>7.3057516618111329E-2</v>
      </c>
      <c r="F39" s="165">
        <f t="shared" si="9"/>
        <v>5.2460099709424668E-2</v>
      </c>
      <c r="G39" s="165">
        <f t="shared" si="9"/>
        <v>5.381520289141295E-2</v>
      </c>
      <c r="H39" s="165">
        <f t="shared" si="9"/>
        <v>6.1601799694704917E-2</v>
      </c>
      <c r="I39" s="165">
        <f t="shared" si="9"/>
        <v>5.7681609776136566E-2</v>
      </c>
      <c r="J39" s="165">
        <f t="shared" si="9"/>
        <v>4.38284003771372E-2</v>
      </c>
      <c r="K39" s="165">
        <f t="shared" si="9"/>
        <v>3.4557210756703594E-2</v>
      </c>
      <c r="L39" s="165">
        <f t="shared" si="9"/>
        <v>8.2095552588947074E-2</v>
      </c>
      <c r="M39" s="165">
        <f t="shared" si="9"/>
        <v>6.5737761414305318E-2</v>
      </c>
      <c r="N39" s="165">
        <f t="shared" si="9"/>
        <v>6.4384017739507859E-2</v>
      </c>
      <c r="O39" s="165">
        <f t="shared" si="9"/>
        <v>7.2983192326654178E-2</v>
      </c>
      <c r="P39" s="165">
        <f t="shared" si="9"/>
        <v>9.2871760771986445E-2</v>
      </c>
      <c r="Q39" s="165">
        <f t="shared" si="9"/>
        <v>0.13826855618806144</v>
      </c>
      <c r="R39" s="165">
        <f t="shared" si="9"/>
        <v>1.8616650926342571E-2</v>
      </c>
      <c r="S39" s="165">
        <f t="shared" si="9"/>
        <v>8.4202927885562273E-2</v>
      </c>
      <c r="T39" s="165">
        <f t="shared" si="9"/>
        <v>0.13505054386395821</v>
      </c>
      <c r="U39" s="165">
        <f t="shared" si="9"/>
        <v>-1.9888782007158046E-3</v>
      </c>
      <c r="V39" s="165">
        <f t="shared" si="9"/>
        <v>1.8775735947116345E-2</v>
      </c>
      <c r="W39" s="165">
        <f t="shared" si="9"/>
        <v>3.6067570244965097E-2</v>
      </c>
      <c r="X39" s="165">
        <f t="shared" si="9"/>
        <v>5.5056660956936287E-2</v>
      </c>
      <c r="Y39" s="165">
        <f t="shared" si="9"/>
        <v>1.0858253476733193E-3</v>
      </c>
      <c r="Z39" s="165">
        <f t="shared" si="9"/>
        <v>1.0407926311754023E-2</v>
      </c>
      <c r="AA39" s="35"/>
      <c r="AB39" s="35"/>
      <c r="AC39" s="35"/>
      <c r="AD39" s="35"/>
    </row>
    <row r="40" spans="1:45" x14ac:dyDescent="0.3">
      <c r="B40" t="s">
        <v>1865</v>
      </c>
      <c r="D40" s="165">
        <f t="shared" ref="D40:Z40" si="10">(D18/C18)^(12)-1</f>
        <v>2.6306911733675387E-2</v>
      </c>
      <c r="E40" s="165">
        <f t="shared" si="10"/>
        <v>4.7075720782800756E-2</v>
      </c>
      <c r="F40" s="165">
        <f t="shared" si="10"/>
        <v>6.4735241863618675E-2</v>
      </c>
      <c r="G40" s="165">
        <f t="shared" si="10"/>
        <v>5.3863730770375762E-2</v>
      </c>
      <c r="H40" s="165">
        <f t="shared" si="10"/>
        <v>4.9415026420108532E-2</v>
      </c>
      <c r="I40" s="165">
        <f t="shared" si="10"/>
        <v>4.8442163355395973E-2</v>
      </c>
      <c r="J40" s="165">
        <f t="shared" si="10"/>
        <v>3.3445689362926245E-2</v>
      </c>
      <c r="K40" s="165">
        <f t="shared" si="10"/>
        <v>1.9209551763710087E-2</v>
      </c>
      <c r="L40" s="165">
        <f t="shared" si="10"/>
        <v>5.8661895401922237E-2</v>
      </c>
      <c r="M40" s="165">
        <f t="shared" si="10"/>
        <v>4.9648293347485994E-2</v>
      </c>
      <c r="N40" s="165">
        <f t="shared" si="10"/>
        <v>6.4148804110846225E-2</v>
      </c>
      <c r="O40" s="165">
        <f t="shared" si="10"/>
        <v>6.5881113028707583E-2</v>
      </c>
      <c r="P40" s="165">
        <f t="shared" si="10"/>
        <v>6.1834779954741403E-2</v>
      </c>
      <c r="Q40" s="165">
        <f t="shared" si="10"/>
        <v>5.1972875017657572E-2</v>
      </c>
      <c r="R40" s="165">
        <f t="shared" si="10"/>
        <v>3.3709236066195469E-2</v>
      </c>
      <c r="S40" s="165">
        <f t="shared" si="10"/>
        <v>5.1178679027768181E-2</v>
      </c>
      <c r="T40" s="165">
        <f t="shared" si="10"/>
        <v>8.0351418460051338E-2</v>
      </c>
      <c r="U40" s="165">
        <f t="shared" si="10"/>
        <v>2.3593165612588507E-2</v>
      </c>
      <c r="V40" s="165">
        <f t="shared" si="10"/>
        <v>5.7661583960296747E-2</v>
      </c>
      <c r="W40" s="165">
        <f t="shared" si="10"/>
        <v>5.2682145345352538E-2</v>
      </c>
      <c r="X40" s="165">
        <f t="shared" si="10"/>
        <v>3.9749380170971849E-2</v>
      </c>
      <c r="Y40" s="165">
        <f t="shared" si="10"/>
        <v>7.9305005594894062E-3</v>
      </c>
      <c r="Z40" s="165">
        <f t="shared" si="10"/>
        <v>4.6465414991049503E-2</v>
      </c>
      <c r="AA40" s="35"/>
      <c r="AB40" s="35"/>
      <c r="AC40" s="35"/>
      <c r="AD40" s="35"/>
    </row>
    <row r="43" spans="1:45" x14ac:dyDescent="0.3">
      <c r="B43" s="166"/>
      <c r="C43" s="166"/>
      <c r="D43" s="166"/>
      <c r="E43" s="166"/>
      <c r="F43" s="166"/>
      <c r="G43" s="166"/>
      <c r="H43" s="166"/>
      <c r="I43" s="166"/>
      <c r="J43" s="166"/>
      <c r="K43" s="166"/>
      <c r="L43" s="166"/>
      <c r="M43" s="166"/>
      <c r="N43" s="166"/>
      <c r="O43" s="166"/>
      <c r="P43" s="166"/>
      <c r="Q43" s="166" t="s">
        <v>1871</v>
      </c>
      <c r="R43" s="166"/>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273">
        <v>2021</v>
      </c>
      <c r="T44" s="1274"/>
      <c r="U44" s="1274"/>
      <c r="V44" s="1274"/>
      <c r="W44" s="1274">
        <v>2022</v>
      </c>
      <c r="X44" s="1274"/>
      <c r="Y44" s="1274"/>
      <c r="Z44" s="1274"/>
      <c r="AA44" s="172">
        <v>2023</v>
      </c>
      <c r="AB44" s="35"/>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63" t="s">
        <v>328</v>
      </c>
      <c r="T45" s="176" t="s">
        <v>329</v>
      </c>
      <c r="U45" s="176" t="s">
        <v>238</v>
      </c>
      <c r="V45" s="176" t="s">
        <v>327</v>
      </c>
      <c r="W45" s="176" t="s">
        <v>328</v>
      </c>
      <c r="X45" s="176" t="s">
        <v>329</v>
      </c>
      <c r="Y45" s="176" t="s">
        <v>238</v>
      </c>
      <c r="Z45" s="159" t="s">
        <v>327</v>
      </c>
      <c r="AA45" s="162" t="s">
        <v>328</v>
      </c>
      <c r="AB45" s="35"/>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6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70">
        <f>AVERAGE(X8:Z8)</f>
        <v>124.72533333333335</v>
      </c>
      <c r="AA46" s="170">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66" t="s">
        <v>1872</v>
      </c>
    </row>
    <row r="49" spans="2:29" ht="43.5" customHeight="1" x14ac:dyDescent="0.3">
      <c r="B49" s="35"/>
      <c r="C49" s="94"/>
      <c r="D49" s="94"/>
      <c r="E49" s="94"/>
      <c r="F49" s="94"/>
      <c r="G49" s="94"/>
      <c r="H49" s="94"/>
      <c r="S49" s="1273">
        <v>2021</v>
      </c>
      <c r="T49" s="1274"/>
      <c r="U49" s="1274"/>
      <c r="V49" s="1274"/>
      <c r="W49" s="1274">
        <v>2022</v>
      </c>
      <c r="X49" s="1274"/>
      <c r="Y49" s="1274"/>
      <c r="Z49" s="1274"/>
      <c r="AA49" s="172">
        <v>2023</v>
      </c>
      <c r="AB49" s="62" t="s">
        <v>1881</v>
      </c>
      <c r="AC49" s="14"/>
    </row>
    <row r="50" spans="2:29" x14ac:dyDescent="0.3">
      <c r="B50" s="35"/>
      <c r="C50" s="35"/>
      <c r="D50" s="35"/>
      <c r="E50" s="35"/>
      <c r="F50" s="35"/>
      <c r="G50" s="35"/>
      <c r="H50" s="35"/>
      <c r="S50" s="163" t="s">
        <v>328</v>
      </c>
      <c r="T50" s="176" t="s">
        <v>329</v>
      </c>
      <c r="U50" s="176" t="s">
        <v>238</v>
      </c>
      <c r="V50" s="176" t="s">
        <v>327</v>
      </c>
      <c r="W50" s="176" t="s">
        <v>328</v>
      </c>
      <c r="X50" s="176" t="s">
        <v>329</v>
      </c>
      <c r="Y50" s="176" t="s">
        <v>238</v>
      </c>
      <c r="Z50" s="159" t="s">
        <v>327</v>
      </c>
      <c r="AA50" s="162" t="s">
        <v>328</v>
      </c>
      <c r="AB50" s="14"/>
    </row>
    <row r="51" spans="2:29" x14ac:dyDescent="0.3">
      <c r="B51" s="35"/>
      <c r="C51" s="35"/>
      <c r="D51" s="35"/>
      <c r="E51" s="35"/>
      <c r="F51" s="35"/>
      <c r="G51" s="35"/>
      <c r="H51" s="35"/>
      <c r="S51" s="21"/>
      <c r="T51" s="177">
        <f t="shared" ref="T51:Y51" si="11">(T46/S46)^4-1</f>
        <v>6.4466715030665034E-2</v>
      </c>
      <c r="U51" s="177">
        <f t="shared" si="11"/>
        <v>5.5974491632073686E-2</v>
      </c>
      <c r="V51" s="177">
        <f t="shared" si="11"/>
        <v>6.1883793652025565E-2</v>
      </c>
      <c r="W51" s="177">
        <f t="shared" si="11"/>
        <v>7.4760879860437557E-2</v>
      </c>
      <c r="X51" s="177">
        <f t="shared" si="11"/>
        <v>7.2910717592092666E-2</v>
      </c>
      <c r="Y51" s="177">
        <f t="shared" si="11"/>
        <v>4.3189354230043886E-2</v>
      </c>
      <c r="Z51" s="178">
        <f>(Z46/Y46)^4-1</f>
        <v>3.1578232055955224E-2</v>
      </c>
      <c r="AA51" s="178">
        <f>(AA46/Z46)^4-1</f>
        <v>1.7675040150680443E-2</v>
      </c>
      <c r="AB51" s="173">
        <f>Deflators!U12</f>
        <v>3.5724460314211282E-2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hyperlinks>
    <hyperlink ref="A5" r:id="rId1" location="eyJhcHBpZCI6MTksInN0ZXBzIjpbMSwyLDNdLCJkYXRhIjpbWyJjYXRlZ29yaWVzIiwiU3VydmV5Il0sWyJOSVBBX1RhYmxlX0xpc3QiLCI4MSJdXX0=" xr:uid="{FA5B0B6C-C79D-4D74-84B7-58AA76D98925}"/>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8" sqref="M8"/>
    </sheetView>
  </sheetViews>
  <sheetFormatPr defaultColWidth="10.77734375" defaultRowHeight="14.4" x14ac:dyDescent="0.3"/>
  <cols>
    <col min="1" max="1" width="33" customWidth="1"/>
    <col min="2" max="2" width="27.21875" customWidth="1"/>
  </cols>
  <sheetData>
    <row r="1" spans="1:22" x14ac:dyDescent="0.3">
      <c r="A1" s="74" t="s">
        <v>178</v>
      </c>
      <c r="B1" s="74" t="s">
        <v>179</v>
      </c>
      <c r="C1" s="180" t="s">
        <v>292</v>
      </c>
      <c r="D1" s="180" t="s">
        <v>293</v>
      </c>
      <c r="E1" s="180" t="s">
        <v>294</v>
      </c>
      <c r="F1" s="180" t="s">
        <v>295</v>
      </c>
      <c r="G1" s="74" t="s">
        <v>296</v>
      </c>
      <c r="H1" s="74" t="s">
        <v>180</v>
      </c>
      <c r="I1" s="74" t="s">
        <v>181</v>
      </c>
      <c r="J1" s="74" t="s">
        <v>182</v>
      </c>
      <c r="K1" s="74" t="s">
        <v>183</v>
      </c>
      <c r="L1" s="98" t="s">
        <v>184</v>
      </c>
      <c r="M1" s="98" t="s">
        <v>185</v>
      </c>
      <c r="N1" s="98"/>
      <c r="O1" s="98"/>
      <c r="P1" s="98"/>
      <c r="Q1" s="98"/>
      <c r="R1" s="98"/>
      <c r="S1" s="98"/>
      <c r="T1" s="98"/>
      <c r="U1" s="98"/>
      <c r="V1" s="98"/>
    </row>
    <row r="2" spans="1:22" ht="29.1" customHeight="1" x14ac:dyDescent="0.3">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418.716928</v>
      </c>
    </row>
    <row r="3" spans="1:22" ht="29.1" customHeight="1" x14ac:dyDescent="0.3">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1906.4740000000004</v>
      </c>
    </row>
    <row r="4" spans="1:22" ht="29.1" customHeight="1" x14ac:dyDescent="0.3">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
      <c r="A6" s="35" t="s">
        <v>201</v>
      </c>
      <c r="B6" s="35" t="s">
        <v>884</v>
      </c>
      <c r="C6" s="181">
        <f>Subsidies!J45</f>
        <v>0</v>
      </c>
      <c r="D6" s="181">
        <f>Subsidies!K45</f>
        <v>0</v>
      </c>
      <c r="E6" s="181">
        <f>Subsidies!L45</f>
        <v>0</v>
      </c>
      <c r="F6" s="181">
        <f>Subsidies!M45</f>
        <v>0</v>
      </c>
      <c r="G6" s="181">
        <f>Subsidies!N45</f>
        <v>58.782959999999989</v>
      </c>
      <c r="H6" s="181">
        <f>Subsidies!O45</f>
        <v>267.78904</v>
      </c>
      <c r="I6" s="181">
        <f>Subsidies!P45</f>
        <v>110.24799999999999</v>
      </c>
      <c r="J6" s="181">
        <f>Subsidies!Q45</f>
        <v>110.24799999999999</v>
      </c>
      <c r="K6" s="181">
        <f>Subsidies!R45</f>
        <v>110.24799999999999</v>
      </c>
      <c r="L6" s="181">
        <f>Subsidies!S45</f>
        <v>110.24799999999999</v>
      </c>
      <c r="M6" s="181">
        <f>Subsidies!T45</f>
        <v>12.726000000000001</v>
      </c>
    </row>
    <row r="7" spans="1:22" ht="29.1" customHeight="1" x14ac:dyDescent="0.3">
      <c r="A7" s="14" t="s">
        <v>925</v>
      </c>
      <c r="B7" t="s">
        <v>923</v>
      </c>
      <c r="C7" s="35"/>
      <c r="D7" s="35"/>
      <c r="E7" s="35"/>
      <c r="F7" s="35"/>
      <c r="G7" s="35"/>
      <c r="H7" s="35"/>
      <c r="J7" s="179"/>
      <c r="K7" s="179"/>
      <c r="L7" s="179"/>
      <c r="M7" s="179">
        <f>forecast!C21</f>
        <v>350.30119606059549</v>
      </c>
    </row>
    <row r="8" spans="1:22" x14ac:dyDescent="0.3">
      <c r="A8" t="s">
        <v>926</v>
      </c>
      <c r="B8" t="s">
        <v>924</v>
      </c>
      <c r="C8" s="35"/>
      <c r="D8" s="35"/>
      <c r="E8" s="35"/>
      <c r="F8" s="35"/>
      <c r="G8" s="35"/>
      <c r="H8" s="35"/>
      <c r="J8" s="179"/>
      <c r="K8" s="179"/>
      <c r="L8" s="179"/>
      <c r="M8" s="179">
        <f>forecast!C22</f>
        <v>95.360546952748706</v>
      </c>
    </row>
    <row r="9" spans="1:22" x14ac:dyDescent="0.3">
      <c r="A9" s="14" t="s">
        <v>997</v>
      </c>
      <c r="B9" t="s">
        <v>998</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topLeftCell="A37" workbookViewId="0">
      <selection activeCell="I70" sqref="I70"/>
    </sheetView>
  </sheetViews>
  <sheetFormatPr defaultColWidth="10.77734375" defaultRowHeight="14.4" x14ac:dyDescent="0.3"/>
  <cols>
    <col min="1" max="1" width="32.77734375" customWidth="1"/>
    <col min="2" max="2" width="28.5546875" customWidth="1"/>
  </cols>
  <sheetData>
    <row r="1" spans="1:11" x14ac:dyDescent="0.3">
      <c r="A1" s="74" t="s">
        <v>178</v>
      </c>
      <c r="B1" s="74" t="s">
        <v>179</v>
      </c>
      <c r="C1" s="75" t="s">
        <v>186</v>
      </c>
      <c r="D1" s="75" t="s">
        <v>187</v>
      </c>
      <c r="E1" s="75" t="s">
        <v>188</v>
      </c>
      <c r="F1" s="75" t="s">
        <v>189</v>
      </c>
      <c r="G1" s="75" t="s">
        <v>190</v>
      </c>
      <c r="H1" s="75" t="s">
        <v>191</v>
      </c>
      <c r="I1" s="75" t="s">
        <v>175</v>
      </c>
      <c r="J1" s="75" t="s">
        <v>176</v>
      </c>
      <c r="K1" s="75" t="s">
        <v>177</v>
      </c>
    </row>
    <row r="2" spans="1:11" x14ac:dyDescent="0.3">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B8" sqref="B8"/>
    </sheetView>
  </sheetViews>
  <sheetFormatPr defaultColWidth="10.77734375" defaultRowHeight="14.4" x14ac:dyDescent="0.3"/>
  <cols>
    <col min="1" max="2" width="70.77734375" customWidth="1"/>
  </cols>
  <sheetData>
    <row r="1" spans="1:45" ht="15.6" customHeight="1" x14ac:dyDescent="0.3">
      <c r="A1" s="1275" t="s">
        <v>299</v>
      </c>
      <c r="B1" s="1275"/>
      <c r="C1" s="1275"/>
      <c r="D1" s="1275"/>
      <c r="E1" s="1275"/>
      <c r="F1" s="1275"/>
      <c r="G1" s="1275"/>
      <c r="H1" s="1275"/>
      <c r="I1" s="1275"/>
      <c r="J1" s="1275"/>
      <c r="K1" s="1275"/>
      <c r="L1" s="1275"/>
      <c r="M1" s="1275"/>
      <c r="N1" s="1275"/>
      <c r="O1" s="1275"/>
    </row>
    <row r="2" spans="1:45" ht="31.35" customHeight="1" x14ac:dyDescent="0.3">
      <c r="A2" s="182"/>
      <c r="B2" s="182" t="s">
        <v>179</v>
      </c>
      <c r="C2" s="189">
        <v>1</v>
      </c>
      <c r="D2" s="189">
        <f>C2+1</f>
        <v>2</v>
      </c>
      <c r="E2" s="189">
        <f t="shared" ref="E2:N2" si="0">D2+1</f>
        <v>3</v>
      </c>
      <c r="F2" s="189">
        <f t="shared" si="0"/>
        <v>4</v>
      </c>
      <c r="G2" s="189">
        <f t="shared" si="0"/>
        <v>5</v>
      </c>
      <c r="H2" s="189">
        <f t="shared" si="0"/>
        <v>6</v>
      </c>
      <c r="I2" s="189">
        <f t="shared" si="0"/>
        <v>7</v>
      </c>
      <c r="J2" s="189">
        <f t="shared" si="0"/>
        <v>8</v>
      </c>
      <c r="K2" s="189">
        <f t="shared" si="0"/>
        <v>9</v>
      </c>
      <c r="L2" s="189">
        <f t="shared" si="0"/>
        <v>10</v>
      </c>
      <c r="M2" s="189">
        <f t="shared" si="0"/>
        <v>11</v>
      </c>
      <c r="N2" s="189">
        <f t="shared" si="0"/>
        <v>12</v>
      </c>
      <c r="O2" s="187" t="s">
        <v>300</v>
      </c>
    </row>
    <row r="3" spans="1:45" ht="15.6" customHeight="1" x14ac:dyDescent="0.3">
      <c r="A3" s="184" t="s">
        <v>301</v>
      </c>
      <c r="B3" s="184" t="s">
        <v>302</v>
      </c>
      <c r="C3" s="73">
        <v>0.22500000000000001</v>
      </c>
      <c r="D3" s="73">
        <v>0.22500000000000001</v>
      </c>
      <c r="E3" s="73">
        <v>0.22500000000000001</v>
      </c>
      <c r="F3" s="73">
        <v>0.22500000000000001</v>
      </c>
      <c r="G3" s="190">
        <v>0</v>
      </c>
      <c r="H3" s="190">
        <v>0</v>
      </c>
      <c r="I3" s="190">
        <v>0</v>
      </c>
      <c r="J3" s="190">
        <v>0</v>
      </c>
      <c r="K3" s="190">
        <v>0</v>
      </c>
      <c r="L3" s="190">
        <v>0</v>
      </c>
      <c r="M3" s="190">
        <v>0</v>
      </c>
      <c r="N3" s="190">
        <v>0</v>
      </c>
      <c r="O3" s="183"/>
      <c r="P3" s="73"/>
      <c r="Q3" s="73"/>
      <c r="R3" s="73"/>
      <c r="S3" s="73"/>
      <c r="T3" s="190"/>
      <c r="U3" s="190"/>
      <c r="V3" s="190"/>
      <c r="W3" s="190"/>
      <c r="X3" s="190"/>
      <c r="Y3" s="190"/>
      <c r="Z3" s="190"/>
      <c r="AA3" s="190"/>
      <c r="AC3" s="70"/>
      <c r="AD3" s="70"/>
      <c r="AE3" s="70"/>
      <c r="AF3" s="70"/>
      <c r="AG3" s="70"/>
      <c r="AH3" s="70"/>
      <c r="AI3" s="70"/>
      <c r="AJ3" s="70"/>
      <c r="AK3" s="70"/>
      <c r="AL3" s="70"/>
      <c r="AM3" s="70"/>
      <c r="AN3" s="70"/>
      <c r="AO3" s="70"/>
      <c r="AP3" s="70"/>
      <c r="AQ3" s="70"/>
      <c r="AR3" s="70"/>
      <c r="AS3" s="70"/>
    </row>
    <row r="4" spans="1:45" ht="15.6" customHeight="1" x14ac:dyDescent="0.3">
      <c r="A4" s="186" t="s">
        <v>303</v>
      </c>
      <c r="B4" s="186"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88">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86" t="s">
        <v>305</v>
      </c>
      <c r="B5" s="186" t="s">
        <v>306</v>
      </c>
      <c r="C5" s="73">
        <v>-0.12</v>
      </c>
      <c r="D5" s="73">
        <v>-0.12</v>
      </c>
      <c r="E5" s="73">
        <v>-0.06</v>
      </c>
      <c r="F5" s="73">
        <v>-0.06</v>
      </c>
      <c r="G5" s="73">
        <v>-0.06</v>
      </c>
      <c r="H5" s="73">
        <v>-0.06</v>
      </c>
      <c r="I5" s="73">
        <v>-0.06</v>
      </c>
      <c r="J5" s="73">
        <v>-0.06</v>
      </c>
      <c r="K5" s="73">
        <v>0</v>
      </c>
      <c r="L5" s="73">
        <v>0</v>
      </c>
      <c r="M5" s="73">
        <v>0</v>
      </c>
      <c r="N5" s="73">
        <v>0</v>
      </c>
      <c r="O5" s="188">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84" t="s">
        <v>307</v>
      </c>
      <c r="B6" s="184"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88">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84" t="s">
        <v>308</v>
      </c>
      <c r="B7" s="184"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88">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84" t="s">
        <v>310</v>
      </c>
      <c r="B8" s="184" t="s">
        <v>311</v>
      </c>
      <c r="C8" s="73">
        <v>0.22500000000000001</v>
      </c>
      <c r="D8" s="73">
        <v>0.22500000000000001</v>
      </c>
      <c r="E8" s="73">
        <v>0.22500000000000001</v>
      </c>
      <c r="F8" s="73">
        <v>0.22500000000000001</v>
      </c>
      <c r="G8" s="73">
        <v>0</v>
      </c>
      <c r="H8" s="73">
        <v>0</v>
      </c>
      <c r="I8" s="73">
        <v>0</v>
      </c>
      <c r="J8" s="73">
        <v>0</v>
      </c>
      <c r="K8" s="73">
        <v>0</v>
      </c>
      <c r="L8" s="73">
        <v>0</v>
      </c>
      <c r="M8" s="73">
        <v>0</v>
      </c>
      <c r="N8" s="73">
        <v>0</v>
      </c>
      <c r="O8" s="188">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84" t="s">
        <v>312</v>
      </c>
      <c r="B9" s="184"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88">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84" t="s">
        <v>314</v>
      </c>
      <c r="B10" s="184" t="s">
        <v>215</v>
      </c>
      <c r="C10" s="73">
        <v>0.14000000000000001</v>
      </c>
      <c r="D10" s="73">
        <v>0.1</v>
      </c>
      <c r="E10" s="73">
        <v>0.1</v>
      </c>
      <c r="F10" s="73">
        <v>0.05</v>
      </c>
      <c r="G10" s="73">
        <v>0.05</v>
      </c>
      <c r="H10" s="73">
        <v>0.05</v>
      </c>
      <c r="I10" s="73">
        <v>0.05</v>
      </c>
      <c r="J10" s="73">
        <v>0.05</v>
      </c>
      <c r="K10" s="73">
        <v>0.05</v>
      </c>
      <c r="L10" s="73">
        <v>0.03</v>
      </c>
      <c r="M10" s="73">
        <v>0.03</v>
      </c>
      <c r="N10" s="73">
        <v>0.03</v>
      </c>
      <c r="O10" s="188">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84" t="s">
        <v>315</v>
      </c>
      <c r="B11" s="184" t="s">
        <v>316</v>
      </c>
      <c r="C11" s="73">
        <v>0.2</v>
      </c>
      <c r="D11" s="73">
        <v>0.17</v>
      </c>
      <c r="E11" s="73">
        <v>0.16</v>
      </c>
      <c r="F11" s="73">
        <v>0.15</v>
      </c>
      <c r="G11" s="73">
        <v>0.09</v>
      </c>
      <c r="H11" s="73">
        <v>0.05</v>
      </c>
      <c r="I11" s="73">
        <v>0.05</v>
      </c>
      <c r="J11" s="73">
        <v>0.04</v>
      </c>
      <c r="K11" s="73">
        <v>0</v>
      </c>
      <c r="L11" s="73">
        <v>0</v>
      </c>
      <c r="M11" s="73">
        <v>0</v>
      </c>
      <c r="N11" s="73">
        <v>0</v>
      </c>
      <c r="O11" s="188">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85" t="s">
        <v>317</v>
      </c>
      <c r="B12" s="185" t="s">
        <v>318</v>
      </c>
      <c r="C12" s="73">
        <v>0.2</v>
      </c>
      <c r="D12" s="73">
        <v>0.17</v>
      </c>
      <c r="E12" s="73">
        <v>0.16</v>
      </c>
      <c r="F12" s="73">
        <v>0.15</v>
      </c>
      <c r="G12" s="73">
        <v>0.09</v>
      </c>
      <c r="H12" s="73">
        <v>0.05</v>
      </c>
      <c r="I12" s="73">
        <v>0.05</v>
      </c>
      <c r="J12" s="73">
        <v>0.04</v>
      </c>
      <c r="K12" s="73">
        <v>0</v>
      </c>
      <c r="L12" s="73">
        <v>0</v>
      </c>
      <c r="M12" s="73">
        <v>0</v>
      </c>
      <c r="N12" s="73">
        <v>0</v>
      </c>
      <c r="O12" s="188">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85" t="s">
        <v>319</v>
      </c>
      <c r="B13" s="185" t="s">
        <v>320</v>
      </c>
      <c r="C13" s="73">
        <v>0.14000000000000001</v>
      </c>
      <c r="D13" s="73">
        <v>0.1</v>
      </c>
      <c r="E13" s="73">
        <v>0.1</v>
      </c>
      <c r="F13" s="73">
        <v>0.05</v>
      </c>
      <c r="G13" s="73">
        <v>0.05</v>
      </c>
      <c r="H13" s="73">
        <v>0.05</v>
      </c>
      <c r="I13" s="73">
        <v>0.05</v>
      </c>
      <c r="J13" s="73">
        <v>0.05</v>
      </c>
      <c r="K13" s="73">
        <v>0.05</v>
      </c>
      <c r="L13" s="73">
        <v>0</v>
      </c>
      <c r="M13" s="73">
        <v>0</v>
      </c>
      <c r="N13" s="73">
        <v>0</v>
      </c>
      <c r="O13" s="188">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85" t="s">
        <v>321</v>
      </c>
      <c r="B14" s="185"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88">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85"/>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opLeftCell="B20" zoomScale="90" zoomScaleNormal="90" workbookViewId="0">
      <selection activeCell="I38" sqref="I38"/>
    </sheetView>
  </sheetViews>
  <sheetFormatPr defaultColWidth="10.7773437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276" t="s">
        <v>53</v>
      </c>
      <c r="C1" s="1276"/>
      <c r="D1" s="1276"/>
      <c r="E1" s="1276"/>
      <c r="F1" s="1276"/>
      <c r="G1" s="1276"/>
      <c r="H1" s="1276"/>
      <c r="I1" s="1276"/>
      <c r="J1" s="1276"/>
      <c r="K1" s="1276"/>
      <c r="L1" s="1276"/>
      <c r="M1" s="1276"/>
      <c r="N1" s="1276"/>
      <c r="O1" s="1276"/>
      <c r="P1" s="1276"/>
      <c r="Q1" s="1276"/>
      <c r="R1" s="1276"/>
      <c r="S1" s="1276"/>
      <c r="T1" s="1276"/>
      <c r="U1" s="1276"/>
      <c r="V1" s="1276"/>
      <c r="W1" s="1276"/>
      <c r="X1" s="1276"/>
      <c r="Y1" s="1276"/>
      <c r="Z1" s="1276"/>
      <c r="AA1" s="1276"/>
      <c r="AB1" s="1276"/>
      <c r="AC1" s="1276"/>
    </row>
    <row r="2" spans="2:30" ht="14.25" customHeight="1" x14ac:dyDescent="0.3">
      <c r="B2" s="1277" t="s">
        <v>323</v>
      </c>
      <c r="C2" s="1277"/>
      <c r="D2" s="1277"/>
      <c r="E2" s="1277"/>
      <c r="F2" s="1277"/>
      <c r="G2" s="1277"/>
      <c r="H2" s="1277"/>
      <c r="I2" s="1277"/>
      <c r="J2" s="1277"/>
      <c r="K2" s="1277"/>
      <c r="L2" s="1277"/>
      <c r="M2" s="1277"/>
      <c r="N2" s="1277"/>
      <c r="O2" s="1277"/>
      <c r="P2" s="1277"/>
      <c r="Q2" s="1277"/>
      <c r="R2" s="1277"/>
      <c r="S2" s="1277"/>
      <c r="T2" s="1277"/>
      <c r="U2" s="1277"/>
      <c r="V2" s="1277"/>
      <c r="W2" s="1277"/>
      <c r="X2" s="1277"/>
      <c r="Y2" s="1277"/>
      <c r="Z2" s="1277"/>
      <c r="AA2" s="1277"/>
      <c r="AB2" s="1277"/>
      <c r="AC2" s="1277"/>
    </row>
    <row r="3" spans="2:30" x14ac:dyDescent="0.3">
      <c r="B3" s="1277"/>
      <c r="C3" s="1277"/>
      <c r="D3" s="1277"/>
      <c r="E3" s="1277"/>
      <c r="F3" s="1277"/>
      <c r="G3" s="1277"/>
      <c r="H3" s="1277"/>
      <c r="I3" s="1277"/>
      <c r="J3" s="1277"/>
      <c r="K3" s="1277"/>
      <c r="L3" s="1277"/>
      <c r="M3" s="1277"/>
      <c r="N3" s="1277"/>
      <c r="O3" s="1277"/>
      <c r="P3" s="1277"/>
      <c r="Q3" s="1277"/>
      <c r="R3" s="1277"/>
      <c r="S3" s="1277"/>
      <c r="T3" s="1277"/>
      <c r="U3" s="1277"/>
      <c r="V3" s="1277"/>
      <c r="W3" s="1277"/>
      <c r="X3" s="1277"/>
      <c r="Y3" s="1277"/>
      <c r="Z3" s="1277"/>
      <c r="AA3" s="1277"/>
      <c r="AB3" s="1277"/>
      <c r="AC3" s="1277"/>
    </row>
    <row r="4" spans="2:30" x14ac:dyDescent="0.3">
      <c r="B4" s="1277"/>
      <c r="C4" s="1277"/>
      <c r="D4" s="1277"/>
      <c r="E4" s="1277"/>
      <c r="F4" s="1277"/>
      <c r="G4" s="1277"/>
      <c r="H4" s="1277"/>
      <c r="I4" s="1277"/>
      <c r="J4" s="1277"/>
      <c r="K4" s="1277"/>
      <c r="L4" s="1277"/>
      <c r="M4" s="1277"/>
      <c r="N4" s="1277"/>
      <c r="O4" s="1277"/>
      <c r="P4" s="1277"/>
      <c r="Q4" s="1277"/>
      <c r="R4" s="1277"/>
      <c r="S4" s="1277"/>
      <c r="T4" s="1277"/>
      <c r="U4" s="1277"/>
      <c r="V4" s="1277"/>
      <c r="W4" s="1277"/>
      <c r="X4" s="1277"/>
      <c r="Y4" s="1277"/>
      <c r="Z4" s="1277"/>
      <c r="AA4" s="1277"/>
      <c r="AB4" s="1277"/>
      <c r="AC4" s="1277"/>
    </row>
    <row r="5" spans="2:30" x14ac:dyDescent="0.3">
      <c r="B5" s="1277"/>
      <c r="C5" s="1277"/>
      <c r="D5" s="1277"/>
      <c r="E5" s="1277"/>
      <c r="F5" s="1277"/>
      <c r="G5" s="1277"/>
      <c r="H5" s="1277"/>
      <c r="I5" s="1277"/>
      <c r="J5" s="1277"/>
      <c r="K5" s="1277"/>
      <c r="L5" s="1277"/>
      <c r="M5" s="1277"/>
      <c r="N5" s="1277"/>
      <c r="O5" s="1277"/>
      <c r="P5" s="1277"/>
      <c r="Q5" s="1277"/>
      <c r="R5" s="1277"/>
      <c r="S5" s="1277"/>
      <c r="T5" s="1277"/>
      <c r="U5" s="1277"/>
      <c r="V5" s="1277"/>
      <c r="W5" s="1277"/>
      <c r="X5" s="1277"/>
      <c r="Y5" s="1277"/>
      <c r="Z5" s="1277"/>
      <c r="AA5" s="1277"/>
      <c r="AB5" s="1277"/>
      <c r="AC5" s="1277"/>
    </row>
    <row r="6" spans="2:30" ht="38.85" customHeight="1" x14ac:dyDescent="0.3">
      <c r="B6" s="1277"/>
      <c r="C6" s="1277"/>
      <c r="D6" s="1277"/>
      <c r="E6" s="1277"/>
      <c r="F6" s="1277"/>
      <c r="G6" s="1277"/>
      <c r="H6" s="1277"/>
      <c r="I6" s="1277"/>
      <c r="J6" s="1277"/>
      <c r="K6" s="1277"/>
      <c r="L6" s="1277"/>
      <c r="M6" s="1277"/>
      <c r="N6" s="1277"/>
      <c r="O6" s="1277"/>
      <c r="P6" s="1277"/>
      <c r="Q6" s="1277"/>
      <c r="R6" s="1277"/>
      <c r="S6" s="1277"/>
      <c r="T6" s="1277"/>
      <c r="U6" s="1277"/>
      <c r="V6" s="1277"/>
      <c r="W6" s="1277"/>
      <c r="X6" s="1277"/>
      <c r="Y6" s="1277"/>
      <c r="Z6" s="1277"/>
      <c r="AA6" s="1277"/>
      <c r="AB6" s="1277"/>
      <c r="AC6" s="1277"/>
    </row>
    <row r="7" spans="2:30" x14ac:dyDescent="0.3">
      <c r="B7" s="240"/>
      <c r="C7" s="240"/>
      <c r="D7" s="240"/>
      <c r="E7" s="240"/>
      <c r="F7" s="240"/>
      <c r="G7" s="240"/>
      <c r="H7" s="241"/>
      <c r="I7" s="241"/>
      <c r="J7" s="241"/>
      <c r="K7" s="241"/>
      <c r="L7" s="241"/>
      <c r="M7" s="241"/>
      <c r="N7" s="241"/>
      <c r="O7" s="241"/>
      <c r="P7" s="241"/>
      <c r="Q7" s="241"/>
      <c r="R7" s="241"/>
      <c r="S7" s="241"/>
      <c r="T7" s="241"/>
      <c r="U7" s="241"/>
      <c r="V7" s="241"/>
      <c r="W7" s="241"/>
      <c r="X7" s="241"/>
      <c r="Y7" s="241"/>
    </row>
    <row r="8" spans="2:30" ht="14.85" customHeight="1" x14ac:dyDescent="0.3">
      <c r="B8" s="1280" t="s">
        <v>324</v>
      </c>
      <c r="C8" s="1281"/>
      <c r="D8" s="1290" t="s">
        <v>325</v>
      </c>
      <c r="E8" s="1291"/>
      <c r="F8" s="1291"/>
      <c r="G8" s="1291"/>
      <c r="H8" s="1291"/>
      <c r="I8" s="1291"/>
      <c r="J8" s="1291"/>
      <c r="K8" s="1291"/>
      <c r="L8" s="1291"/>
      <c r="M8" s="1291"/>
      <c r="N8" s="1291"/>
      <c r="O8" s="1291"/>
      <c r="P8" s="1291"/>
      <c r="Q8" s="1291"/>
      <c r="R8" s="1291"/>
      <c r="S8" s="1291"/>
      <c r="T8" s="1292"/>
      <c r="U8" s="1293" t="s">
        <v>326</v>
      </c>
      <c r="V8" s="1294"/>
      <c r="W8" s="1294"/>
      <c r="X8" s="1294"/>
      <c r="Y8" s="1294"/>
      <c r="Z8" s="1294"/>
      <c r="AA8" s="1294"/>
      <c r="AB8" s="1294"/>
      <c r="AC8" s="1295"/>
    </row>
    <row r="9" spans="2:30" ht="12.75" customHeight="1" x14ac:dyDescent="0.3">
      <c r="B9" s="1282"/>
      <c r="C9" s="1283"/>
      <c r="D9" s="157">
        <v>2018</v>
      </c>
      <c r="E9" s="1273">
        <v>2019</v>
      </c>
      <c r="F9" s="1278"/>
      <c r="G9" s="1278"/>
      <c r="H9" s="1279"/>
      <c r="I9" s="1278">
        <v>2020</v>
      </c>
      <c r="J9" s="1278"/>
      <c r="K9" s="1278"/>
      <c r="L9" s="1278"/>
      <c r="M9" s="1273">
        <v>2021</v>
      </c>
      <c r="N9" s="1278"/>
      <c r="O9" s="1278"/>
      <c r="P9" s="1278"/>
      <c r="Q9" s="1288">
        <v>2022</v>
      </c>
      <c r="R9" s="1289"/>
      <c r="S9" s="208"/>
      <c r="T9" s="221"/>
      <c r="U9" s="1284">
        <v>2023</v>
      </c>
      <c r="V9" s="1285"/>
      <c r="W9" s="1285"/>
      <c r="X9" s="1286"/>
      <c r="Y9" s="1287">
        <v>2024</v>
      </c>
      <c r="Z9" s="1285"/>
      <c r="AA9" s="1285"/>
      <c r="AB9" s="1285"/>
      <c r="AC9" s="233">
        <v>2025</v>
      </c>
    </row>
    <row r="10" spans="2:30" ht="14.85" customHeight="1" x14ac:dyDescent="0.3">
      <c r="B10" s="1282"/>
      <c r="C10" s="1283"/>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47" t="s">
        <v>328</v>
      </c>
      <c r="V10" s="247" t="s">
        <v>329</v>
      </c>
      <c r="W10" s="247" t="s">
        <v>238</v>
      </c>
      <c r="X10" s="248" t="s">
        <v>327</v>
      </c>
      <c r="Y10" s="246" t="s">
        <v>328</v>
      </c>
      <c r="Z10" s="242" t="s">
        <v>329</v>
      </c>
      <c r="AA10" s="247" t="s">
        <v>238</v>
      </c>
      <c r="AB10" s="247" t="s">
        <v>327</v>
      </c>
      <c r="AC10" s="249" t="s">
        <v>328</v>
      </c>
    </row>
    <row r="11" spans="2:30" x14ac:dyDescent="0.3">
      <c r="B11" s="237" t="s">
        <v>102</v>
      </c>
      <c r="C11" s="251" t="s">
        <v>330</v>
      </c>
      <c r="D11" s="224">
        <f>'Haver Pivoted'!GO14</f>
        <v>27.8</v>
      </c>
      <c r="E11" s="225">
        <f>'Haver Pivoted'!GP14</f>
        <v>29.4</v>
      </c>
      <c r="F11" s="225">
        <f>'Haver Pivoted'!GQ14</f>
        <v>26.9</v>
      </c>
      <c r="G11" s="225">
        <f>'Haver Pivoted'!GR14</f>
        <v>26.4</v>
      </c>
      <c r="H11" s="225">
        <f>'Haver Pivoted'!GS14</f>
        <v>27.7</v>
      </c>
      <c r="I11" s="225">
        <f>'Haver Pivoted'!GT14</f>
        <v>40.700000000000003</v>
      </c>
      <c r="J11" s="225">
        <f>'Haver Pivoted'!GU14</f>
        <v>1007.5</v>
      </c>
      <c r="K11" s="225">
        <f>'Haver Pivoted'!GV14</f>
        <v>792.9</v>
      </c>
      <c r="L11" s="225">
        <f>'Haver Pivoted'!GW14</f>
        <v>308.5</v>
      </c>
      <c r="M11" s="225">
        <f>'Haver Pivoted'!GX14</f>
        <v>556.20000000000005</v>
      </c>
      <c r="N11" s="225">
        <f>'Haver Pivoted'!GY14</f>
        <v>448.6</v>
      </c>
      <c r="O11" s="225">
        <f>'Haver Pivoted'!GZ14</f>
        <v>245.1</v>
      </c>
      <c r="P11" s="225">
        <f>'Haver Pivoted'!HA14</f>
        <v>33.799999999999997</v>
      </c>
      <c r="Q11" s="225">
        <f>'Haver Pivoted'!HB14</f>
        <v>23.6</v>
      </c>
      <c r="R11" s="225">
        <f>'Haver Pivoted'!HC14</f>
        <v>18.600000000000001</v>
      </c>
      <c r="S11" s="158">
        <f>'Haver Pivoted'!HD14</f>
        <v>18.5</v>
      </c>
      <c r="T11" s="194">
        <f>'Haver Pivoted'!HE14</f>
        <v>20.399999999999999</v>
      </c>
      <c r="U11" s="428">
        <f t="shared" ref="U11:AC11" si="0">U12+U13+U20</f>
        <v>22.830999999999996</v>
      </c>
      <c r="V11" s="468">
        <f t="shared" si="0"/>
        <v>26.060999999999996</v>
      </c>
      <c r="W11" s="468">
        <f t="shared" si="0"/>
        <v>27.760999999999992</v>
      </c>
      <c r="X11" s="468">
        <f t="shared" si="0"/>
        <v>28.979333333333326</v>
      </c>
      <c r="Y11" s="468">
        <f t="shared" si="0"/>
        <v>28.894333333333329</v>
      </c>
      <c r="Z11" s="468">
        <f t="shared" si="0"/>
        <v>28.010333333333325</v>
      </c>
      <c r="AA11" s="468">
        <f t="shared" si="0"/>
        <v>27.534333333333322</v>
      </c>
      <c r="AB11" s="468">
        <f t="shared" si="0"/>
        <v>27.194333333333322</v>
      </c>
      <c r="AC11" s="430">
        <f t="shared" si="0"/>
        <v>27.063999999999986</v>
      </c>
      <c r="AD11" s="213" t="s">
        <v>331</v>
      </c>
    </row>
    <row r="12" spans="2:30" x14ac:dyDescent="0.3">
      <c r="B12" s="234" t="s">
        <v>332</v>
      </c>
      <c r="C12" s="235" t="s">
        <v>333</v>
      </c>
      <c r="D12" s="254">
        <f>'Haver Pivoted'!GO63</f>
        <v>0</v>
      </c>
      <c r="E12" s="209">
        <f>'Haver Pivoted'!GP63</f>
        <v>0</v>
      </c>
      <c r="F12" s="209">
        <f>'Haver Pivoted'!GQ63</f>
        <v>0</v>
      </c>
      <c r="G12" s="209">
        <f>'Haver Pivoted'!GR63</f>
        <v>0</v>
      </c>
      <c r="H12" s="209">
        <f>'Haver Pivoted'!GS63</f>
        <v>0</v>
      </c>
      <c r="I12" s="209">
        <f>'Haver Pivoted'!GT63</f>
        <v>0</v>
      </c>
      <c r="J12" s="209">
        <f>'Haver Pivoted'!GU63</f>
        <v>0.1</v>
      </c>
      <c r="K12" s="209">
        <f>'Haver Pivoted'!GV63</f>
        <v>3.7</v>
      </c>
      <c r="L12" s="209">
        <f>'Haver Pivoted'!GW63</f>
        <v>12.9</v>
      </c>
      <c r="M12" s="209">
        <f>'Haver Pivoted'!GX63</f>
        <v>25.5</v>
      </c>
      <c r="N12" s="209">
        <f>'Haver Pivoted'!GY63</f>
        <v>3.8</v>
      </c>
      <c r="O12" s="209">
        <f>'Haver Pivoted'!GZ63</f>
        <v>1.8</v>
      </c>
      <c r="P12" s="209">
        <f>'Haver Pivoted'!HA63</f>
        <v>0.6</v>
      </c>
      <c r="Q12" s="209">
        <f>'Haver Pivoted'!HB63</f>
        <v>0.2</v>
      </c>
      <c r="R12" s="209">
        <f>'Haver Pivoted'!HC63</f>
        <v>0.1</v>
      </c>
      <c r="S12" s="176">
        <f>'Haver Pivoted'!HD63</f>
        <v>0</v>
      </c>
      <c r="T12" s="159">
        <f>'Haver Pivoted'!HE63</f>
        <v>0</v>
      </c>
      <c r="U12" s="229">
        <f t="shared" ref="U12:AB12" si="1">T12*U23/T23</f>
        <v>0</v>
      </c>
      <c r="V12" s="229">
        <f t="shared" si="1"/>
        <v>0</v>
      </c>
      <c r="W12" s="229">
        <f t="shared" si="1"/>
        <v>0</v>
      </c>
      <c r="X12" s="229">
        <f t="shared" si="1"/>
        <v>0</v>
      </c>
      <c r="Y12" s="229">
        <f t="shared" si="1"/>
        <v>0</v>
      </c>
      <c r="Z12" s="229">
        <f t="shared" si="1"/>
        <v>0</v>
      </c>
      <c r="AA12" s="229">
        <f t="shared" si="1"/>
        <v>0</v>
      </c>
      <c r="AB12" s="229">
        <f t="shared" si="1"/>
        <v>0</v>
      </c>
      <c r="AC12" s="239">
        <f>AB12*AC23/AB23</f>
        <v>0</v>
      </c>
    </row>
    <row r="13" spans="2:30" x14ac:dyDescent="0.3">
      <c r="B13" s="234" t="s">
        <v>334</v>
      </c>
      <c r="C13" s="235"/>
      <c r="D13" s="254"/>
      <c r="E13" s="209"/>
      <c r="F13" s="209"/>
      <c r="G13" s="209"/>
      <c r="H13" s="211">
        <f>SUM(H14:H17)</f>
        <v>0</v>
      </c>
      <c r="I13" s="211">
        <f t="shared" ref="I13:M13" si="2">SUM(I14:I17)</f>
        <v>0</v>
      </c>
      <c r="J13" s="211">
        <f t="shared" si="2"/>
        <v>779.7</v>
      </c>
      <c r="K13" s="211">
        <f t="shared" si="2"/>
        <v>582.6</v>
      </c>
      <c r="L13" s="211">
        <f t="shared" si="2"/>
        <v>216.5</v>
      </c>
      <c r="M13" s="211">
        <f t="shared" si="2"/>
        <v>497.6</v>
      </c>
      <c r="N13" s="214">
        <f>SUM(N14:N17)</f>
        <v>401.5</v>
      </c>
      <c r="O13" s="214">
        <f t="shared" ref="O13:AC13" si="3">SUM(O14:O17)</f>
        <v>207.4</v>
      </c>
      <c r="P13" s="214">
        <f t="shared" si="3"/>
        <v>5.5</v>
      </c>
      <c r="Q13" s="214">
        <v>0</v>
      </c>
      <c r="R13" s="214">
        <f t="shared" si="3"/>
        <v>1</v>
      </c>
      <c r="S13" s="222">
        <f t="shared" si="3"/>
        <v>0.5</v>
      </c>
      <c r="T13" s="261">
        <f t="shared" si="3"/>
        <v>0.30000000000000004</v>
      </c>
      <c r="U13" s="229">
        <f t="shared" si="3"/>
        <v>0.33575000000000005</v>
      </c>
      <c r="V13" s="229">
        <f t="shared" si="3"/>
        <v>0.38324999999999998</v>
      </c>
      <c r="W13" s="229">
        <f t="shared" si="3"/>
        <v>0.40825</v>
      </c>
      <c r="X13" s="229">
        <f t="shared" si="3"/>
        <v>0.42616666666666664</v>
      </c>
      <c r="Y13" s="229">
        <f t="shared" si="3"/>
        <v>0.42491666666666672</v>
      </c>
      <c r="Z13" s="229">
        <f t="shared" si="3"/>
        <v>0.4119166666666666</v>
      </c>
      <c r="AA13" s="229">
        <f t="shared" si="3"/>
        <v>0.40491666666666665</v>
      </c>
      <c r="AB13" s="229">
        <f t="shared" si="3"/>
        <v>0.3999166666666667</v>
      </c>
      <c r="AC13" s="239">
        <f t="shared" si="3"/>
        <v>0.39799999999999996</v>
      </c>
    </row>
    <row r="14" spans="2:30" ht="18" customHeight="1" x14ac:dyDescent="0.3">
      <c r="B14" s="236" t="s">
        <v>335</v>
      </c>
      <c r="C14" s="210" t="s">
        <v>333</v>
      </c>
      <c r="D14" s="253">
        <f>'Haver Pivoted'!GO63</f>
        <v>0</v>
      </c>
      <c r="E14" s="212">
        <f>'Haver Pivoted'!GP63</f>
        <v>0</v>
      </c>
      <c r="F14" s="212">
        <f>'Haver Pivoted'!GQ63</f>
        <v>0</v>
      </c>
      <c r="G14" s="212">
        <f>'Haver Pivoted'!GR63</f>
        <v>0</v>
      </c>
      <c r="H14" s="212">
        <f>'Haver Pivoted'!GS63</f>
        <v>0</v>
      </c>
      <c r="I14" s="212">
        <f>'Haver Pivoted'!GT63</f>
        <v>0</v>
      </c>
      <c r="J14" s="212">
        <f>'Haver Pivoted'!GU63</f>
        <v>0.1</v>
      </c>
      <c r="K14" s="212">
        <f>'Haver Pivoted'!GV63</f>
        <v>3.7</v>
      </c>
      <c r="L14" s="212">
        <f>'Haver Pivoted'!GW63</f>
        <v>12.9</v>
      </c>
      <c r="M14" s="212">
        <f>'Haver Pivoted'!GX63</f>
        <v>25.5</v>
      </c>
      <c r="N14" s="212">
        <f>'Haver Pivoted'!GY63</f>
        <v>3.8</v>
      </c>
      <c r="O14" s="212">
        <f>'Haver Pivoted'!GZ63</f>
        <v>1.8</v>
      </c>
      <c r="P14" s="212">
        <f>'Haver Pivoted'!HA63</f>
        <v>0.6</v>
      </c>
      <c r="Q14" s="212">
        <f>'Haver Pivoted'!HB63</f>
        <v>0.2</v>
      </c>
      <c r="R14" s="212">
        <f>'Haver Pivoted'!HC63</f>
        <v>0.1</v>
      </c>
      <c r="S14" s="218">
        <f>'Haver Pivoted'!HD63</f>
        <v>0</v>
      </c>
      <c r="T14" s="227">
        <f>'Haver Pivoted'!HE63</f>
        <v>0</v>
      </c>
      <c r="U14" s="229">
        <f t="shared" ref="U14:X14" si="4">U12</f>
        <v>0</v>
      </c>
      <c r="V14" s="229">
        <f t="shared" si="4"/>
        <v>0</v>
      </c>
      <c r="W14" s="229">
        <f t="shared" si="4"/>
        <v>0</v>
      </c>
      <c r="X14" s="229">
        <f t="shared" si="4"/>
        <v>0</v>
      </c>
      <c r="Y14" s="229">
        <f>Y12</f>
        <v>0</v>
      </c>
      <c r="Z14" s="229">
        <f t="shared" ref="Z14:AC14" si="5">Z12</f>
        <v>0</v>
      </c>
      <c r="AA14" s="229">
        <f t="shared" si="5"/>
        <v>0</v>
      </c>
      <c r="AB14" s="229">
        <f t="shared" si="5"/>
        <v>0</v>
      </c>
      <c r="AC14" s="239">
        <f t="shared" si="5"/>
        <v>0</v>
      </c>
    </row>
    <row r="15" spans="2:30" ht="18" customHeight="1" x14ac:dyDescent="0.3">
      <c r="B15" s="236" t="s">
        <v>336</v>
      </c>
      <c r="C15" s="210" t="s">
        <v>337</v>
      </c>
      <c r="D15" s="253">
        <f>'Haver Pivoted'!GO59</f>
        <v>0</v>
      </c>
      <c r="E15" s="212">
        <f>'Haver Pivoted'!GP59</f>
        <v>0</v>
      </c>
      <c r="F15" s="212">
        <f>'Haver Pivoted'!GQ59</f>
        <v>0</v>
      </c>
      <c r="G15" s="212">
        <f>'Haver Pivoted'!GR59</f>
        <v>0</v>
      </c>
      <c r="H15" s="212">
        <f>'Haver Pivoted'!GS59</f>
        <v>0</v>
      </c>
      <c r="I15" s="212">
        <f>'Haver Pivoted'!GT59</f>
        <v>0</v>
      </c>
      <c r="J15" s="212">
        <f>'Haver Pivoted'!GU59</f>
        <v>6.3</v>
      </c>
      <c r="K15" s="212">
        <f>'Haver Pivoted'!GV59</f>
        <v>26.7</v>
      </c>
      <c r="L15" s="212">
        <f>'Haver Pivoted'!GW59</f>
        <v>82.1</v>
      </c>
      <c r="M15" s="212">
        <f>'Haver Pivoted'!GX59</f>
        <v>94.7</v>
      </c>
      <c r="N15" s="212">
        <f>'Haver Pivoted'!GY59</f>
        <v>92.1</v>
      </c>
      <c r="O15" s="212">
        <f>'Haver Pivoted'!GZ59</f>
        <v>51.6</v>
      </c>
      <c r="P15" s="212">
        <f>'Haver Pivoted'!HA59</f>
        <v>2.8</v>
      </c>
      <c r="Q15" s="212">
        <f>'Haver Pivoted'!HB59</f>
        <v>0.8</v>
      </c>
      <c r="R15" s="212">
        <f>'Haver Pivoted'!HC59</f>
        <v>0.5</v>
      </c>
      <c r="S15" s="218">
        <f>'Haver Pivoted'!HD59</f>
        <v>0.3</v>
      </c>
      <c r="T15" s="227">
        <f>'Haver Pivoted'!HE59</f>
        <v>0.2</v>
      </c>
      <c r="U15" s="229">
        <f t="shared" ref="U15:AB15" si="6">T15*U$23/T$23</f>
        <v>0.22383333333333336</v>
      </c>
      <c r="V15" s="229">
        <f t="shared" si="6"/>
        <v>0.2555</v>
      </c>
      <c r="W15" s="229">
        <f t="shared" si="6"/>
        <v>0.27216666666666667</v>
      </c>
      <c r="X15" s="229">
        <f t="shared" si="6"/>
        <v>0.28411111111111109</v>
      </c>
      <c r="Y15" s="229">
        <f t="shared" si="6"/>
        <v>0.28327777777777779</v>
      </c>
      <c r="Z15" s="229">
        <f t="shared" si="6"/>
        <v>0.27461111111111108</v>
      </c>
      <c r="AA15" s="229">
        <f t="shared" si="6"/>
        <v>0.26994444444444443</v>
      </c>
      <c r="AB15" s="229">
        <f t="shared" si="6"/>
        <v>0.26661111111111113</v>
      </c>
      <c r="AC15" s="239">
        <f>AB15*AC$23/AB$23</f>
        <v>0.26533333333333331</v>
      </c>
    </row>
    <row r="16" spans="2:30" ht="18" customHeight="1" x14ac:dyDescent="0.3">
      <c r="B16" s="236" t="s">
        <v>338</v>
      </c>
      <c r="C16" s="210" t="s">
        <v>339</v>
      </c>
      <c r="D16" s="253">
        <f>'Haver Pivoted'!GO60</f>
        <v>0</v>
      </c>
      <c r="E16" s="212">
        <f>'Haver Pivoted'!GP60</f>
        <v>0</v>
      </c>
      <c r="F16" s="212">
        <f>'Haver Pivoted'!GQ60</f>
        <v>0</v>
      </c>
      <c r="G16" s="212">
        <f>'Haver Pivoted'!GR60</f>
        <v>0</v>
      </c>
      <c r="H16" s="212">
        <f>'Haver Pivoted'!GS60</f>
        <v>0</v>
      </c>
      <c r="I16" s="212">
        <f>'Haver Pivoted'!GT60</f>
        <v>0</v>
      </c>
      <c r="J16" s="212">
        <f>'Haver Pivoted'!GU60</f>
        <v>74.400000000000006</v>
      </c>
      <c r="K16" s="212">
        <f>'Haver Pivoted'!GV60</f>
        <v>138.30000000000001</v>
      </c>
      <c r="L16" s="212">
        <f>'Haver Pivoted'!GW60</f>
        <v>106.8</v>
      </c>
      <c r="M16" s="212">
        <f>'Haver Pivoted'!GX60</f>
        <v>89.2</v>
      </c>
      <c r="N16" s="212">
        <f>'Haver Pivoted'!GY60</f>
        <v>72.3</v>
      </c>
      <c r="O16" s="212">
        <f>'Haver Pivoted'!GZ60</f>
        <v>43.5</v>
      </c>
      <c r="P16" s="212">
        <f>'Haver Pivoted'!HA60</f>
        <v>2.1</v>
      </c>
      <c r="Q16" s="212">
        <f>'Haver Pivoted'!HB60</f>
        <v>0.8</v>
      </c>
      <c r="R16" s="212">
        <f>'Haver Pivoted'!HC60</f>
        <v>0.4</v>
      </c>
      <c r="S16" s="218">
        <f>'Haver Pivoted'!HD60</f>
        <v>0.2</v>
      </c>
      <c r="T16" s="227">
        <f>'Haver Pivoted'!HE60</f>
        <v>0.1</v>
      </c>
      <c r="U16" s="229">
        <f t="shared" ref="U16:AB16" si="7">T16*U$23/T$23</f>
        <v>0.11191666666666668</v>
      </c>
      <c r="V16" s="229">
        <f t="shared" si="7"/>
        <v>0.12775</v>
      </c>
      <c r="W16" s="229">
        <f t="shared" si="7"/>
        <v>0.13608333333333333</v>
      </c>
      <c r="X16" s="229">
        <f t="shared" si="7"/>
        <v>0.14205555555555555</v>
      </c>
      <c r="Y16" s="229">
        <f t="shared" si="7"/>
        <v>0.1416388888888889</v>
      </c>
      <c r="Z16" s="229">
        <f t="shared" si="7"/>
        <v>0.13730555555555554</v>
      </c>
      <c r="AA16" s="229">
        <f t="shared" si="7"/>
        <v>0.13497222222222222</v>
      </c>
      <c r="AB16" s="229">
        <f t="shared" si="7"/>
        <v>0.13330555555555557</v>
      </c>
      <c r="AC16" s="239">
        <f>AB16*AC$23/AB$23</f>
        <v>0.13266666666666665</v>
      </c>
    </row>
    <row r="17" spans="2:30" ht="18" customHeight="1" x14ac:dyDescent="0.3">
      <c r="B17" s="236" t="s">
        <v>340</v>
      </c>
      <c r="C17" s="210" t="s">
        <v>341</v>
      </c>
      <c r="D17" s="253">
        <f>'Haver Pivoted'!GO61</f>
        <v>0</v>
      </c>
      <c r="E17" s="212">
        <f>'Haver Pivoted'!GP61</f>
        <v>0</v>
      </c>
      <c r="F17" s="212">
        <f>'Haver Pivoted'!GQ61</f>
        <v>0</v>
      </c>
      <c r="G17" s="212">
        <f>'Haver Pivoted'!GR61</f>
        <v>0</v>
      </c>
      <c r="H17" s="212">
        <f>'Haver Pivoted'!GS61</f>
        <v>0</v>
      </c>
      <c r="I17" s="212">
        <f>'Haver Pivoted'!GT61</f>
        <v>0</v>
      </c>
      <c r="J17" s="212">
        <f>'Haver Pivoted'!GU61</f>
        <v>698.9</v>
      </c>
      <c r="K17" s="212">
        <f>'Haver Pivoted'!GV61</f>
        <v>413.9</v>
      </c>
      <c r="L17" s="212">
        <f>'Haver Pivoted'!GW61</f>
        <v>14.7</v>
      </c>
      <c r="M17" s="212">
        <f>'Haver Pivoted'!GX61</f>
        <v>288.2</v>
      </c>
      <c r="N17" s="212">
        <f>'Haver Pivoted'!GY61</f>
        <v>233.3</v>
      </c>
      <c r="O17" s="212">
        <f>'Haver Pivoted'!GZ61</f>
        <v>110.5</v>
      </c>
      <c r="P17" s="212">
        <f>'Haver Pivoted'!HA61</f>
        <v>0</v>
      </c>
      <c r="Q17" s="212">
        <f>'Haver Pivoted'!HB61</f>
        <v>0</v>
      </c>
      <c r="R17" s="212">
        <f>'Haver Pivoted'!HC61</f>
        <v>0</v>
      </c>
      <c r="S17" s="218">
        <f>'Haver Pivoted'!HD61</f>
        <v>0</v>
      </c>
      <c r="T17" s="227">
        <f>'Haver Pivoted'!HE61</f>
        <v>0</v>
      </c>
      <c r="U17" s="229">
        <f t="shared" ref="U17:AB17" si="8">T17*U$23/T$23</f>
        <v>0</v>
      </c>
      <c r="V17" s="229">
        <f t="shared" si="8"/>
        <v>0</v>
      </c>
      <c r="W17" s="229">
        <f t="shared" si="8"/>
        <v>0</v>
      </c>
      <c r="X17" s="229">
        <f t="shared" si="8"/>
        <v>0</v>
      </c>
      <c r="Y17" s="229">
        <f t="shared" si="8"/>
        <v>0</v>
      </c>
      <c r="Z17" s="229">
        <f t="shared" si="8"/>
        <v>0</v>
      </c>
      <c r="AA17" s="229">
        <f t="shared" si="8"/>
        <v>0</v>
      </c>
      <c r="AB17" s="229">
        <f t="shared" si="8"/>
        <v>0</v>
      </c>
      <c r="AC17" s="239">
        <f>AB17*AC$23/AB$23</f>
        <v>0</v>
      </c>
    </row>
    <row r="18" spans="2:30" x14ac:dyDescent="0.3">
      <c r="B18" s="243" t="s">
        <v>158</v>
      </c>
      <c r="C18" s="213" t="s">
        <v>342</v>
      </c>
      <c r="D18" s="254">
        <f>'Haver Pivoted'!GO64</f>
        <v>0</v>
      </c>
      <c r="E18" s="209">
        <f>'Haver Pivoted'!GP64</f>
        <v>0</v>
      </c>
      <c r="F18" s="209">
        <f>'Haver Pivoted'!GQ64</f>
        <v>0</v>
      </c>
      <c r="G18" s="209">
        <f>'Haver Pivoted'!GR64</f>
        <v>0</v>
      </c>
      <c r="H18" s="209">
        <f>'Haver Pivoted'!GS64</f>
        <v>0</v>
      </c>
      <c r="I18" s="209">
        <f>'Haver Pivoted'!GT64</f>
        <v>0</v>
      </c>
      <c r="J18" s="209">
        <f>'Haver Pivoted'!GU64</f>
        <v>0</v>
      </c>
      <c r="K18" s="209">
        <f>'Haver Pivoted'!GV64</f>
        <v>106.2</v>
      </c>
      <c r="L18" s="209">
        <f>'Haver Pivoted'!GW64</f>
        <v>35.9</v>
      </c>
      <c r="M18" s="209">
        <f>'Haver Pivoted'!GX64</f>
        <v>1.6</v>
      </c>
      <c r="N18" s="209">
        <f>'Haver Pivoted'!GY64</f>
        <v>0.6</v>
      </c>
      <c r="O18" s="209">
        <f>'Haver Pivoted'!GZ64</f>
        <v>0.1</v>
      </c>
      <c r="P18" s="209">
        <f>'Haver Pivoted'!HA64</f>
        <v>0</v>
      </c>
      <c r="Q18" s="212">
        <f>'Haver Pivoted'!HB64</f>
        <v>0</v>
      </c>
      <c r="R18" s="212">
        <f>'Haver Pivoted'!HC64</f>
        <v>0</v>
      </c>
      <c r="S18" s="218">
        <f>'Haver Pivoted'!HD64</f>
        <v>0</v>
      </c>
      <c r="T18" s="227">
        <f>'Haver Pivoted'!HE64</f>
        <v>0</v>
      </c>
      <c r="U18" s="229"/>
      <c r="V18" s="229"/>
      <c r="W18" s="229"/>
      <c r="X18" s="229"/>
      <c r="Y18" s="229"/>
      <c r="Z18" s="229"/>
      <c r="AA18" s="229"/>
      <c r="AB18" s="229"/>
      <c r="AC18" s="239"/>
    </row>
    <row r="19" spans="2:30" ht="14.85" customHeight="1" x14ac:dyDescent="0.3">
      <c r="B19" s="244" t="s">
        <v>343</v>
      </c>
      <c r="C19" s="250"/>
      <c r="D19" s="230">
        <f t="shared" ref="D19:N19" si="9">D11-D20</f>
        <v>0</v>
      </c>
      <c r="E19" s="223">
        <f t="shared" si="9"/>
        <v>0</v>
      </c>
      <c r="F19" s="223">
        <f t="shared" si="9"/>
        <v>0</v>
      </c>
      <c r="G19" s="223">
        <f t="shared" si="9"/>
        <v>0</v>
      </c>
      <c r="H19" s="223">
        <f t="shared" si="9"/>
        <v>0</v>
      </c>
      <c r="I19" s="223">
        <f t="shared" si="9"/>
        <v>0</v>
      </c>
      <c r="J19" s="223">
        <f t="shared" si="9"/>
        <v>779.80000000000007</v>
      </c>
      <c r="K19" s="223">
        <f t="shared" si="9"/>
        <v>586.29999999999995</v>
      </c>
      <c r="L19" s="223">
        <f t="shared" si="9"/>
        <v>229.4</v>
      </c>
      <c r="M19" s="223">
        <f t="shared" si="9"/>
        <v>523.1</v>
      </c>
      <c r="N19" s="219">
        <f t="shared" si="9"/>
        <v>405.3</v>
      </c>
      <c r="O19" s="219">
        <f>O11-O20</f>
        <v>209.20000000000002</v>
      </c>
      <c r="P19" s="219">
        <f t="shared" ref="P19" si="10">P11-P20</f>
        <v>6.1000000000000014</v>
      </c>
      <c r="Q19" s="219">
        <f>Q11-Q20</f>
        <v>0.19999999999999929</v>
      </c>
      <c r="R19" s="219">
        <f>R11-R20</f>
        <v>1.1000000000000014</v>
      </c>
      <c r="S19" s="215">
        <f>S11-S20</f>
        <v>0.5</v>
      </c>
      <c r="T19" s="226">
        <f>T11-T20</f>
        <v>0.30000000000000071</v>
      </c>
      <c r="U19" s="1506">
        <f t="shared" ref="U19:AC19" si="11">U11-U20</f>
        <v>0.33575000000000088</v>
      </c>
      <c r="V19" s="1506">
        <f t="shared" si="11"/>
        <v>0.38325000000000031</v>
      </c>
      <c r="W19" s="1506">
        <f t="shared" si="11"/>
        <v>0.40824999999999889</v>
      </c>
      <c r="X19" s="1506">
        <f t="shared" si="11"/>
        <v>0.42616666666666703</v>
      </c>
      <c r="Y19" s="1506">
        <f t="shared" si="11"/>
        <v>0.42491666666666816</v>
      </c>
      <c r="Z19" s="1506">
        <f t="shared" si="11"/>
        <v>0.41191666666666649</v>
      </c>
      <c r="AA19" s="1506">
        <f t="shared" si="11"/>
        <v>0.40491666666666504</v>
      </c>
      <c r="AB19" s="1506">
        <f t="shared" si="11"/>
        <v>0.39991666666666603</v>
      </c>
      <c r="AC19" s="1506">
        <f t="shared" si="11"/>
        <v>0.39799999999999969</v>
      </c>
    </row>
    <row r="20" spans="2:30" ht="14.85" customHeight="1" x14ac:dyDescent="0.3">
      <c r="B20" s="244" t="s">
        <v>344</v>
      </c>
      <c r="C20" s="250"/>
      <c r="D20" s="230">
        <f t="shared" ref="D20:H20" si="12">D11</f>
        <v>27.8</v>
      </c>
      <c r="E20" s="223">
        <f t="shared" si="12"/>
        <v>29.4</v>
      </c>
      <c r="F20" s="223">
        <f t="shared" si="12"/>
        <v>26.9</v>
      </c>
      <c r="G20" s="223">
        <f t="shared" si="12"/>
        <v>26.4</v>
      </c>
      <c r="H20" s="223">
        <f t="shared" si="12"/>
        <v>27.7</v>
      </c>
      <c r="I20" s="223">
        <f>I11</f>
        <v>40.700000000000003</v>
      </c>
      <c r="J20" s="223">
        <f>J11-J13-J12</f>
        <v>227.69999999999996</v>
      </c>
      <c r="K20" s="223">
        <f>K11-K13-K12</f>
        <v>206.59999999999997</v>
      </c>
      <c r="L20" s="223">
        <f>L11-L13-L12</f>
        <v>79.099999999999994</v>
      </c>
      <c r="M20" s="223">
        <f>M11-M13-M12</f>
        <v>33.100000000000023</v>
      </c>
      <c r="N20" s="219">
        <f t="shared" ref="N20:T20" si="13">N11-N12-N13</f>
        <v>43.300000000000011</v>
      </c>
      <c r="O20" s="219">
        <f t="shared" si="13"/>
        <v>35.899999999999977</v>
      </c>
      <c r="P20" s="219">
        <f t="shared" si="13"/>
        <v>27.699999999999996</v>
      </c>
      <c r="Q20" s="212">
        <f t="shared" si="13"/>
        <v>23.400000000000002</v>
      </c>
      <c r="R20" s="212">
        <f t="shared" si="13"/>
        <v>17.5</v>
      </c>
      <c r="S20" s="218">
        <f t="shared" si="13"/>
        <v>18</v>
      </c>
      <c r="T20" s="227">
        <f t="shared" si="13"/>
        <v>20.099999999999998</v>
      </c>
      <c r="U20" s="1506">
        <f t="shared" ref="U20:AB20" si="14">T20*U23/T23</f>
        <v>22.495249999999995</v>
      </c>
      <c r="V20" s="1506">
        <f t="shared" si="14"/>
        <v>25.677749999999996</v>
      </c>
      <c r="W20" s="1506">
        <f t="shared" si="14"/>
        <v>27.352749999999993</v>
      </c>
      <c r="X20" s="1506">
        <f t="shared" si="14"/>
        <v>28.553166666666659</v>
      </c>
      <c r="Y20" s="1506">
        <f t="shared" si="14"/>
        <v>28.46941666666666</v>
      </c>
      <c r="Z20" s="1506">
        <f t="shared" si="14"/>
        <v>27.598416666666658</v>
      </c>
      <c r="AA20" s="1506">
        <f t="shared" si="14"/>
        <v>27.129416666666657</v>
      </c>
      <c r="AB20" s="1506">
        <f t="shared" si="14"/>
        <v>26.794416666666656</v>
      </c>
      <c r="AC20" s="1507">
        <f>AB20*AC23/AB23</f>
        <v>26.665999999999986</v>
      </c>
      <c r="AD20" s="232" t="s">
        <v>345</v>
      </c>
    </row>
    <row r="21" spans="2:30" x14ac:dyDescent="0.3">
      <c r="B21" s="243"/>
      <c r="C21" s="238"/>
      <c r="D21" s="253"/>
      <c r="E21" s="212"/>
      <c r="F21" s="212"/>
      <c r="G21" s="212"/>
      <c r="H21" s="211"/>
      <c r="I21" s="211"/>
      <c r="J21" s="211"/>
      <c r="K21" s="211"/>
      <c r="L21" s="211"/>
      <c r="M21" s="211"/>
      <c r="N21" s="211"/>
      <c r="O21" s="211"/>
      <c r="P21" s="211"/>
      <c r="Q21" s="211"/>
      <c r="R21" s="211"/>
      <c r="S21" s="211"/>
      <c r="T21" s="220"/>
      <c r="U21" s="229"/>
      <c r="V21" s="229"/>
      <c r="W21" s="229"/>
      <c r="X21" s="229"/>
      <c r="Y21" s="229"/>
      <c r="Z21" s="229"/>
      <c r="AA21" s="229"/>
      <c r="AB21" s="229"/>
      <c r="AC21" s="239"/>
    </row>
    <row r="22" spans="2:30" s="1447" customFormat="1" x14ac:dyDescent="0.3">
      <c r="B22" s="198" t="s">
        <v>1893</v>
      </c>
      <c r="C22" s="1223"/>
      <c r="D22" s="253"/>
      <c r="E22" s="212"/>
      <c r="F22" s="212"/>
      <c r="G22" s="212"/>
      <c r="H22" s="211"/>
      <c r="I22" s="211"/>
      <c r="J22" s="211"/>
      <c r="K22" s="211"/>
      <c r="L22" s="211"/>
      <c r="M22" s="211"/>
      <c r="N22" s="211"/>
      <c r="O22" s="211"/>
      <c r="P22" s="211"/>
      <c r="Q22" s="211"/>
      <c r="R22" s="211"/>
      <c r="S22" s="211"/>
      <c r="T22" s="220"/>
      <c r="U22" s="204">
        <v>4.0990000000000002</v>
      </c>
      <c r="V22" s="204">
        <v>4.5990000000000002</v>
      </c>
      <c r="W22" s="204">
        <v>4.899</v>
      </c>
      <c r="X22" s="204">
        <v>5.1139999999999999</v>
      </c>
      <c r="Y22" s="204">
        <v>5.0990000000000002</v>
      </c>
      <c r="Z22" s="204">
        <v>4.9429999999999996</v>
      </c>
      <c r="AA22" s="204">
        <v>4.859</v>
      </c>
      <c r="AB22" s="204">
        <v>4.7990000000000004</v>
      </c>
      <c r="AC22" s="205">
        <v>4.7759999999999998</v>
      </c>
    </row>
    <row r="23" spans="2:30" x14ac:dyDescent="0.3">
      <c r="B23" s="1222" t="s">
        <v>2287</v>
      </c>
      <c r="C23" s="199"/>
      <c r="D23" s="200"/>
      <c r="E23" s="201"/>
      <c r="F23" s="201"/>
      <c r="G23" s="201"/>
      <c r="H23" s="202"/>
      <c r="I23" s="202"/>
      <c r="J23" s="202"/>
      <c r="K23" s="202"/>
      <c r="L23" s="202"/>
      <c r="M23" s="202">
        <f>D33</f>
        <v>6.166666666666667</v>
      </c>
      <c r="N23" s="202">
        <f>D36</f>
        <v>5.7666666666666657</v>
      </c>
      <c r="O23" s="202">
        <f>D39</f>
        <v>5.1333333333333337</v>
      </c>
      <c r="P23" s="202">
        <f>D42</f>
        <v>4.2333333333333334</v>
      </c>
      <c r="Q23" s="202">
        <f>D45</f>
        <v>3.8000000000000003</v>
      </c>
      <c r="R23" s="203">
        <f>D48</f>
        <v>3.6</v>
      </c>
      <c r="S23" s="206">
        <f>D51</f>
        <v>3.5666666666666664</v>
      </c>
      <c r="T23" s="207">
        <f>D54</f>
        <v>3.6</v>
      </c>
      <c r="U23" s="204">
        <f>U22-0.07</f>
        <v>4.0289999999999999</v>
      </c>
      <c r="V23" s="204">
        <v>4.5990000000000002</v>
      </c>
      <c r="W23" s="204">
        <v>4.899</v>
      </c>
      <c r="X23" s="204">
        <v>5.1139999999999999</v>
      </c>
      <c r="Y23" s="204">
        <v>5.0990000000000002</v>
      </c>
      <c r="Z23" s="204">
        <v>4.9429999999999996</v>
      </c>
      <c r="AA23" s="204">
        <v>4.859</v>
      </c>
      <c r="AB23" s="204">
        <v>4.7990000000000004</v>
      </c>
      <c r="AC23" s="205">
        <v>4.7759999999999998</v>
      </c>
      <c r="AD23" s="245" t="s">
        <v>346</v>
      </c>
    </row>
    <row r="24" spans="2:30" ht="15.75" customHeight="1" x14ac:dyDescent="0.3">
      <c r="C24" s="213"/>
      <c r="D24" s="209"/>
      <c r="E24" s="209"/>
      <c r="F24" s="209"/>
      <c r="G24" s="209"/>
      <c r="H24" s="211"/>
      <c r="I24" s="211"/>
      <c r="J24" s="211"/>
      <c r="K24" s="211"/>
      <c r="L24" s="211"/>
      <c r="M24" s="211"/>
      <c r="N24" s="211"/>
      <c r="O24" s="211"/>
      <c r="P24" s="211"/>
      <c r="AD24" s="245"/>
    </row>
    <row r="25" spans="2:30" x14ac:dyDescent="0.3">
      <c r="C25" s="213"/>
      <c r="D25" s="209"/>
      <c r="E25" s="209"/>
      <c r="F25" s="209"/>
      <c r="G25" s="209"/>
      <c r="H25" s="211"/>
      <c r="I25" s="211"/>
      <c r="J25" s="211"/>
      <c r="K25" s="211"/>
      <c r="L25" s="211"/>
      <c r="M25" s="211"/>
      <c r="N25" s="211"/>
      <c r="O25" s="211"/>
      <c r="P25" s="211"/>
      <c r="AD25" s="245"/>
    </row>
    <row r="26" spans="2:30" x14ac:dyDescent="0.3">
      <c r="C26" s="213"/>
      <c r="D26" s="209"/>
      <c r="E26" s="209"/>
      <c r="F26" s="209"/>
      <c r="G26" s="209"/>
      <c r="H26" s="211"/>
      <c r="I26" s="211"/>
      <c r="J26" s="211"/>
      <c r="K26" s="211"/>
      <c r="L26" s="211"/>
      <c r="M26" s="211"/>
      <c r="N26" s="211"/>
      <c r="O26" s="211"/>
      <c r="P26" s="211"/>
      <c r="AD26" s="245"/>
    </row>
    <row r="27" spans="2:30" x14ac:dyDescent="0.3">
      <c r="C27" s="213"/>
      <c r="D27" s="209"/>
      <c r="E27" s="209"/>
      <c r="F27" s="209"/>
      <c r="G27" s="209"/>
      <c r="H27" s="211"/>
      <c r="I27" s="211"/>
      <c r="J27" s="211"/>
      <c r="K27" s="211"/>
      <c r="L27" s="211"/>
      <c r="M27" s="211"/>
      <c r="N27" s="211"/>
      <c r="O27" s="211"/>
      <c r="P27" s="211"/>
      <c r="AD27" s="245"/>
    </row>
    <row r="28" spans="2:30" x14ac:dyDescent="0.3">
      <c r="C28" s="213"/>
      <c r="D28" s="209"/>
      <c r="E28" s="209"/>
      <c r="F28" s="209"/>
      <c r="G28" s="209"/>
      <c r="H28" s="211"/>
      <c r="I28" s="211"/>
      <c r="J28" s="211"/>
      <c r="K28" s="211"/>
      <c r="L28" s="211"/>
      <c r="M28" s="211"/>
      <c r="N28" s="211"/>
      <c r="O28" s="211"/>
      <c r="P28" s="211"/>
      <c r="AD28" s="245"/>
    </row>
    <row r="29" spans="2:30" x14ac:dyDescent="0.3">
      <c r="M29" s="245"/>
      <c r="N29" s="245"/>
      <c r="O29" s="245"/>
    </row>
    <row r="30" spans="2:30" x14ac:dyDescent="0.3">
      <c r="B30" t="s">
        <v>2290</v>
      </c>
      <c r="M30" s="213"/>
      <c r="N30" s="213"/>
      <c r="O30" s="213"/>
    </row>
    <row r="31" spans="2:30" x14ac:dyDescent="0.3">
      <c r="M31" s="213"/>
      <c r="N31" s="213"/>
      <c r="O31" s="213"/>
    </row>
    <row r="32" spans="2:30" ht="63" customHeight="1" x14ac:dyDescent="0.3">
      <c r="B32" s="255" t="s">
        <v>347</v>
      </c>
      <c r="C32" s="260" t="s">
        <v>348</v>
      </c>
      <c r="D32" s="256" t="s">
        <v>349</v>
      </c>
      <c r="F32" s="1510" t="s">
        <v>2291</v>
      </c>
      <c r="G32" s="1510"/>
      <c r="H32" s="1510"/>
      <c r="I32" s="1510"/>
      <c r="J32" s="1510"/>
      <c r="M32" s="213"/>
      <c r="N32" s="213"/>
      <c r="O32" s="213"/>
    </row>
    <row r="33" spans="1:38" x14ac:dyDescent="0.3">
      <c r="A33" s="35"/>
      <c r="B33" s="257">
        <v>44197</v>
      </c>
      <c r="C33" s="168">
        <v>6.3</v>
      </c>
      <c r="D33" s="258">
        <f>AVERAGE(C33:C35)</f>
        <v>6.166666666666667</v>
      </c>
      <c r="E33" s="35"/>
      <c r="F33">
        <v>28484</v>
      </c>
      <c r="H33" s="1509"/>
      <c r="J33" s="1509"/>
      <c r="M33" s="213"/>
      <c r="N33" s="213"/>
      <c r="O33" s="213"/>
    </row>
    <row r="34" spans="1:38" x14ac:dyDescent="0.3">
      <c r="A34" s="35"/>
      <c r="B34" s="257">
        <v>44228</v>
      </c>
      <c r="C34" s="168">
        <v>6.2</v>
      </c>
      <c r="D34" s="258"/>
      <c r="E34" s="35"/>
      <c r="H34" s="1509"/>
      <c r="J34" s="1509"/>
      <c r="M34" s="213"/>
      <c r="N34" s="213"/>
      <c r="O34" s="213"/>
    </row>
    <row r="35" spans="1:38" x14ac:dyDescent="0.3">
      <c r="A35" s="35"/>
      <c r="B35" s="257">
        <v>44256</v>
      </c>
      <c r="C35" s="168">
        <v>6</v>
      </c>
      <c r="D35" s="258"/>
      <c r="E35" s="35"/>
      <c r="H35" s="1509"/>
      <c r="J35" s="1509"/>
      <c r="M35" s="213"/>
      <c r="N35" s="213"/>
      <c r="O35" s="213"/>
    </row>
    <row r="36" spans="1:38" x14ac:dyDescent="0.3">
      <c r="A36" s="35"/>
      <c r="B36" s="257">
        <v>44287</v>
      </c>
      <c r="C36" s="168">
        <v>6.1</v>
      </c>
      <c r="D36" s="258">
        <f>AVERAGE(C36:C38)</f>
        <v>5.7666666666666657</v>
      </c>
      <c r="E36" s="35"/>
      <c r="F36">
        <v>24728</v>
      </c>
      <c r="H36" s="1509"/>
      <c r="J36" s="1509"/>
      <c r="M36" s="213"/>
      <c r="N36" s="213"/>
      <c r="O36" s="213"/>
    </row>
    <row r="37" spans="1:38" x14ac:dyDescent="0.3">
      <c r="A37" s="35"/>
      <c r="B37" s="257">
        <v>44317</v>
      </c>
      <c r="C37" s="168">
        <v>5.8</v>
      </c>
      <c r="D37" s="258"/>
      <c r="E37" s="35"/>
      <c r="H37" s="1509"/>
      <c r="J37" s="1509"/>
      <c r="M37" s="213"/>
      <c r="N37" s="213"/>
      <c r="O37" s="213"/>
    </row>
    <row r="38" spans="1:38" x14ac:dyDescent="0.3">
      <c r="A38" s="35"/>
      <c r="B38" s="257">
        <v>44348</v>
      </c>
      <c r="C38" s="168">
        <v>5.4</v>
      </c>
      <c r="D38" s="258"/>
      <c r="E38" s="35"/>
      <c r="H38" s="1509"/>
      <c r="J38" s="1509"/>
      <c r="M38" s="213"/>
      <c r="N38" s="213"/>
      <c r="O38" s="213"/>
    </row>
    <row r="39" spans="1:38" x14ac:dyDescent="0.3">
      <c r="A39" s="35"/>
      <c r="B39" s="257">
        <v>44378</v>
      </c>
      <c r="C39" s="168">
        <v>5.4</v>
      </c>
      <c r="D39" s="258">
        <f>AVERAGE(C39:C41)</f>
        <v>5.1333333333333337</v>
      </c>
      <c r="E39" s="213" t="s">
        <v>350</v>
      </c>
      <c r="F39">
        <v>20400</v>
      </c>
      <c r="H39" s="1509"/>
      <c r="J39" s="1509"/>
      <c r="M39" s="213"/>
      <c r="N39" s="213"/>
      <c r="O39" s="213"/>
    </row>
    <row r="40" spans="1:38" x14ac:dyDescent="0.3">
      <c r="A40" s="35"/>
      <c r="B40" s="257">
        <v>44409</v>
      </c>
      <c r="C40" s="168">
        <v>5.2</v>
      </c>
      <c r="D40" s="258"/>
      <c r="E40" s="35" t="s">
        <v>1889</v>
      </c>
      <c r="H40" s="1509"/>
      <c r="J40" s="1509"/>
      <c r="M40" s="213"/>
      <c r="N40" s="213"/>
      <c r="O40" s="213"/>
    </row>
    <row r="41" spans="1:38" x14ac:dyDescent="0.3">
      <c r="A41" s="35"/>
      <c r="B41" s="257">
        <v>44440</v>
      </c>
      <c r="C41" s="168">
        <v>4.8</v>
      </c>
      <c r="D41" s="258"/>
      <c r="E41" s="35"/>
      <c r="H41" s="1509"/>
      <c r="J41" s="1509"/>
      <c r="M41" s="213"/>
      <c r="N41" s="213"/>
      <c r="O41" s="213"/>
    </row>
    <row r="42" spans="1:38" x14ac:dyDescent="0.3">
      <c r="A42" s="35"/>
      <c r="B42" s="257">
        <v>44470</v>
      </c>
      <c r="C42" s="168">
        <v>4.5999999999999996</v>
      </c>
      <c r="D42" s="258">
        <f>AVERAGE(C42:C44)</f>
        <v>4.2333333333333334</v>
      </c>
      <c r="E42" s="35"/>
      <c r="F42">
        <v>18883</v>
      </c>
      <c r="H42" s="1509"/>
      <c r="J42" s="1509"/>
      <c r="M42" s="213"/>
      <c r="N42" s="213"/>
      <c r="O42" s="213"/>
    </row>
    <row r="43" spans="1:38" x14ac:dyDescent="0.3">
      <c r="A43" s="35"/>
      <c r="B43" s="257">
        <v>44501</v>
      </c>
      <c r="C43" s="168">
        <v>4.2</v>
      </c>
      <c r="D43" s="258"/>
      <c r="E43" s="35"/>
      <c r="H43" s="1509"/>
      <c r="J43" s="1509"/>
      <c r="M43" s="213"/>
      <c r="N43" s="213"/>
      <c r="O43" s="213"/>
      <c r="AD43" s="213"/>
      <c r="AE43" s="213"/>
      <c r="AF43" s="213"/>
      <c r="AG43" s="213"/>
      <c r="AH43" s="213"/>
      <c r="AI43" s="213"/>
      <c r="AJ43" s="213"/>
      <c r="AK43" s="213"/>
      <c r="AL43" s="213"/>
    </row>
    <row r="44" spans="1:38" x14ac:dyDescent="0.3">
      <c r="A44" s="35"/>
      <c r="B44" s="257">
        <v>44531</v>
      </c>
      <c r="C44" s="168">
        <v>3.9</v>
      </c>
      <c r="D44" s="258"/>
      <c r="E44" s="35"/>
      <c r="H44" s="1509"/>
      <c r="J44" s="1509"/>
      <c r="M44" s="213"/>
      <c r="N44" s="213"/>
      <c r="O44" s="213"/>
      <c r="AD44" s="213"/>
      <c r="AE44" s="213"/>
      <c r="AF44" s="213"/>
      <c r="AG44" s="213"/>
      <c r="AH44" s="213"/>
      <c r="AI44" s="213"/>
      <c r="AJ44" s="213"/>
      <c r="AK44" s="213"/>
      <c r="AL44" s="213"/>
    </row>
    <row r="45" spans="1:38" x14ac:dyDescent="0.3">
      <c r="A45" s="35"/>
      <c r="B45" s="257">
        <v>44562</v>
      </c>
      <c r="C45" s="168">
        <v>4</v>
      </c>
      <c r="D45" s="168">
        <f>AVERAGE(C45:C47)</f>
        <v>3.8000000000000003</v>
      </c>
      <c r="E45" s="35"/>
      <c r="F45">
        <v>17680</v>
      </c>
      <c r="H45" s="1509"/>
      <c r="J45" s="1509"/>
      <c r="M45" s="213"/>
      <c r="N45" s="213"/>
      <c r="O45" s="213"/>
    </row>
    <row r="46" spans="1:38" x14ac:dyDescent="0.3">
      <c r="A46" s="35"/>
      <c r="B46" s="257">
        <v>44593</v>
      </c>
      <c r="C46" s="168">
        <v>3.8</v>
      </c>
      <c r="D46" s="168"/>
      <c r="E46" s="35"/>
      <c r="H46" s="1509"/>
      <c r="J46" s="1509"/>
    </row>
    <row r="47" spans="1:38" x14ac:dyDescent="0.3">
      <c r="A47" s="35"/>
      <c r="B47" s="257">
        <v>44621</v>
      </c>
      <c r="C47" s="168">
        <v>3.6</v>
      </c>
      <c r="D47" s="168"/>
      <c r="E47" s="35"/>
      <c r="H47" s="1509"/>
      <c r="J47" s="1509"/>
    </row>
    <row r="48" spans="1:38" x14ac:dyDescent="0.3">
      <c r="A48" s="35"/>
      <c r="B48" s="257">
        <v>44652</v>
      </c>
      <c r="C48" s="168">
        <v>3.6</v>
      </c>
      <c r="D48" s="168">
        <f>AVERAGE(C48:C50)</f>
        <v>3.6</v>
      </c>
      <c r="E48" s="35"/>
      <c r="F48">
        <v>17549</v>
      </c>
      <c r="H48" s="1509"/>
      <c r="J48" s="1509"/>
    </row>
    <row r="49" spans="1:10" x14ac:dyDescent="0.3">
      <c r="A49" s="35"/>
      <c r="B49" s="257">
        <v>44682</v>
      </c>
      <c r="C49" s="168">
        <v>3.6</v>
      </c>
      <c r="D49" s="168"/>
      <c r="E49" s="35"/>
      <c r="H49" s="1509"/>
      <c r="J49" s="1509"/>
    </row>
    <row r="50" spans="1:10" x14ac:dyDescent="0.3">
      <c r="A50" s="35"/>
      <c r="B50" s="257">
        <v>44713</v>
      </c>
      <c r="C50" s="168">
        <v>3.6</v>
      </c>
      <c r="D50" s="168"/>
      <c r="E50" s="35"/>
      <c r="H50" s="1509"/>
      <c r="J50" s="1509"/>
    </row>
    <row r="51" spans="1:10" x14ac:dyDescent="0.3">
      <c r="A51" s="35"/>
      <c r="B51" s="257">
        <v>44743</v>
      </c>
      <c r="C51" s="168">
        <v>3.5</v>
      </c>
      <c r="D51" s="168">
        <f>AVERAGE(C51:C53)</f>
        <v>3.5666666666666664</v>
      </c>
      <c r="E51" s="35"/>
      <c r="F51">
        <v>17716</v>
      </c>
      <c r="H51" s="1509"/>
      <c r="J51" s="1509"/>
    </row>
    <row r="52" spans="1:10" x14ac:dyDescent="0.3">
      <c r="A52" s="35"/>
      <c r="B52" s="257">
        <v>44774</v>
      </c>
      <c r="C52" s="168">
        <v>3.7</v>
      </c>
      <c r="D52" s="168"/>
      <c r="E52" s="35"/>
      <c r="H52" s="1509"/>
      <c r="J52" s="1509"/>
    </row>
    <row r="53" spans="1:10" x14ac:dyDescent="0.3">
      <c r="B53" s="257">
        <v>44805</v>
      </c>
      <c r="C53" s="168">
        <v>3.5</v>
      </c>
      <c r="D53" s="168"/>
    </row>
    <row r="54" spans="1:10" x14ac:dyDescent="0.3">
      <c r="B54" s="257">
        <v>44835</v>
      </c>
      <c r="C54" s="168">
        <v>3.7</v>
      </c>
      <c r="D54" s="168">
        <f>AVERAGE(C54:C56)</f>
        <v>3.6</v>
      </c>
    </row>
    <row r="55" spans="1:10" x14ac:dyDescent="0.3">
      <c r="B55" s="257">
        <v>44866</v>
      </c>
      <c r="C55" s="168">
        <v>3.6</v>
      </c>
      <c r="D55" s="168"/>
    </row>
    <row r="56" spans="1:10" x14ac:dyDescent="0.3">
      <c r="B56" s="259">
        <v>44896</v>
      </c>
      <c r="C56" s="170">
        <v>3.5</v>
      </c>
      <c r="D56" s="170"/>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2"/>
  <sheetViews>
    <sheetView zoomScale="89" zoomScaleNormal="89" workbookViewId="0">
      <selection activeCell="E86" sqref="E86"/>
    </sheetView>
  </sheetViews>
  <sheetFormatPr defaultColWidth="10.7773437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276" t="s">
        <v>192</v>
      </c>
      <c r="C1" s="1276"/>
      <c r="D1" s="1276"/>
      <c r="E1" s="1276"/>
      <c r="F1" s="1276"/>
      <c r="G1" s="1276"/>
      <c r="H1" s="1276"/>
      <c r="I1" s="1276"/>
      <c r="J1" s="1276"/>
      <c r="K1" s="1276"/>
      <c r="L1" s="1276"/>
      <c r="M1" s="1276"/>
      <c r="N1" s="1276"/>
      <c r="O1" s="1276"/>
      <c r="P1" s="1276"/>
      <c r="Q1" s="1276"/>
      <c r="R1" s="1276"/>
      <c r="S1" s="1276"/>
      <c r="T1" s="1276"/>
      <c r="U1" s="1276"/>
      <c r="V1" s="1276"/>
      <c r="W1" s="1276"/>
      <c r="X1" s="1276"/>
      <c r="Y1" s="1276"/>
      <c r="Z1" s="191"/>
      <c r="AA1" s="191"/>
      <c r="AB1" s="191"/>
      <c r="AC1" s="191"/>
      <c r="AD1" s="180"/>
      <c r="AE1" s="180"/>
    </row>
    <row r="2" spans="2:34" ht="14.25" customHeight="1" x14ac:dyDescent="0.3">
      <c r="B2" s="1277" t="s">
        <v>379</v>
      </c>
      <c r="C2" s="1277"/>
      <c r="D2" s="1277"/>
      <c r="E2" s="1277"/>
      <c r="F2" s="1277"/>
      <c r="G2" s="1277"/>
      <c r="H2" s="1277"/>
      <c r="I2" s="1277"/>
      <c r="J2" s="1277"/>
      <c r="K2" s="1277"/>
      <c r="L2" s="1277"/>
      <c r="M2" s="1277"/>
      <c r="N2" s="1277"/>
      <c r="O2" s="1277"/>
      <c r="P2" s="1277"/>
      <c r="Q2" s="1277"/>
      <c r="R2" s="1277"/>
      <c r="S2" s="1277"/>
      <c r="T2" s="1277"/>
      <c r="U2" s="1277"/>
      <c r="V2" s="1277"/>
      <c r="W2" s="1277"/>
      <c r="X2" s="1277"/>
      <c r="Y2" s="1277"/>
      <c r="Z2" s="1277"/>
      <c r="AA2" s="1277"/>
      <c r="AB2" s="1277"/>
      <c r="AC2" s="1277"/>
      <c r="AD2" s="192"/>
      <c r="AE2" s="192"/>
    </row>
    <row r="3" spans="2:34" ht="50.85" customHeight="1" x14ac:dyDescent="0.3">
      <c r="B3" s="1277"/>
      <c r="C3" s="1277"/>
      <c r="D3" s="1277"/>
      <c r="E3" s="1277"/>
      <c r="F3" s="1277"/>
      <c r="G3" s="1277"/>
      <c r="H3" s="1277"/>
      <c r="I3" s="1277"/>
      <c r="J3" s="1277"/>
      <c r="K3" s="1277"/>
      <c r="L3" s="1277"/>
      <c r="M3" s="1277"/>
      <c r="N3" s="1277"/>
      <c r="O3" s="1277"/>
      <c r="P3" s="1277"/>
      <c r="Q3" s="1277"/>
      <c r="R3" s="1277"/>
      <c r="S3" s="1277"/>
      <c r="T3" s="1277"/>
      <c r="U3" s="1277"/>
      <c r="V3" s="1277"/>
      <c r="W3" s="1277"/>
      <c r="X3" s="1277"/>
      <c r="Y3" s="1277"/>
      <c r="Z3" s="1277"/>
      <c r="AA3" s="1277"/>
      <c r="AB3" s="1277"/>
      <c r="AC3" s="1277"/>
      <c r="AD3" s="192"/>
      <c r="AE3" s="192"/>
    </row>
    <row r="4" spans="2:34" ht="5.25" customHeight="1" x14ac:dyDescent="0.3">
      <c r="B4" s="1277"/>
      <c r="C4" s="1277"/>
      <c r="D4" s="1277"/>
      <c r="E4" s="1277"/>
      <c r="F4" s="1277"/>
      <c r="G4" s="1277"/>
      <c r="H4" s="1277"/>
      <c r="I4" s="1277"/>
      <c r="J4" s="1277"/>
      <c r="K4" s="1277"/>
      <c r="L4" s="1277"/>
      <c r="M4" s="1277"/>
      <c r="N4" s="1277"/>
      <c r="O4" s="1277"/>
      <c r="P4" s="1277"/>
      <c r="Q4" s="1277"/>
      <c r="R4" s="1277"/>
      <c r="S4" s="1277"/>
      <c r="T4" s="1277"/>
      <c r="U4" s="1277"/>
      <c r="V4" s="1277"/>
      <c r="W4" s="1277"/>
      <c r="X4" s="1277"/>
      <c r="Y4" s="1277"/>
      <c r="Z4" s="1277"/>
      <c r="AA4" s="1277"/>
      <c r="AB4" s="1277"/>
      <c r="AC4" s="1277"/>
      <c r="AD4" s="192"/>
      <c r="AE4" s="192"/>
    </row>
    <row r="5" spans="2:34" x14ac:dyDescent="0.3">
      <c r="B5" s="346" t="s">
        <v>380</v>
      </c>
    </row>
    <row r="6" spans="2:34" ht="14.85" customHeight="1" x14ac:dyDescent="0.3">
      <c r="B6" s="1280" t="s">
        <v>381</v>
      </c>
      <c r="C6" s="1281"/>
      <c r="D6" s="1290" t="s">
        <v>325</v>
      </c>
      <c r="E6" s="1291"/>
      <c r="F6" s="1291"/>
      <c r="G6" s="1291"/>
      <c r="H6" s="1291"/>
      <c r="I6" s="1291"/>
      <c r="J6" s="1291"/>
      <c r="K6" s="1291"/>
      <c r="L6" s="1291"/>
      <c r="M6" s="1291"/>
      <c r="N6" s="1291"/>
      <c r="O6" s="1291"/>
      <c r="P6" s="1291"/>
      <c r="Q6" s="1291"/>
      <c r="R6" s="1291"/>
      <c r="S6" s="1291"/>
      <c r="T6" s="1292"/>
      <c r="U6" s="1293" t="s">
        <v>326</v>
      </c>
      <c r="V6" s="1294"/>
      <c r="W6" s="1294"/>
      <c r="X6" s="1294"/>
      <c r="Y6" s="1294"/>
      <c r="Z6" s="1294"/>
      <c r="AA6" s="1294"/>
      <c r="AB6" s="1294"/>
      <c r="AC6" s="1295"/>
      <c r="AD6" s="1300" t="s">
        <v>382</v>
      </c>
      <c r="AE6" s="1303" t="s">
        <v>383</v>
      </c>
    </row>
    <row r="7" spans="2:34" ht="24" customHeight="1" x14ac:dyDescent="0.3">
      <c r="B7" s="1282"/>
      <c r="C7" s="1283"/>
      <c r="D7" s="163">
        <v>2018</v>
      </c>
      <c r="E7" s="1298">
        <v>2019</v>
      </c>
      <c r="F7" s="1299"/>
      <c r="G7" s="1299"/>
      <c r="H7" s="1306"/>
      <c r="I7" s="1298">
        <v>2020</v>
      </c>
      <c r="J7" s="1299"/>
      <c r="K7" s="1299"/>
      <c r="L7" s="1299"/>
      <c r="M7" s="1298">
        <v>2021</v>
      </c>
      <c r="N7" s="1299"/>
      <c r="O7" s="1299"/>
      <c r="P7" s="1299"/>
      <c r="Q7" s="1273">
        <v>2022</v>
      </c>
      <c r="R7" s="1274"/>
      <c r="S7" s="1274"/>
      <c r="T7" s="1279"/>
      <c r="U7" s="1284">
        <v>2023</v>
      </c>
      <c r="V7" s="1285"/>
      <c r="W7" s="1285"/>
      <c r="X7" s="1285"/>
      <c r="Y7" s="1287">
        <v>2024</v>
      </c>
      <c r="Z7" s="1285"/>
      <c r="AA7" s="1285"/>
      <c r="AB7" s="1286"/>
      <c r="AC7" s="233">
        <v>2025</v>
      </c>
      <c r="AD7" s="1301"/>
      <c r="AE7" s="1304"/>
    </row>
    <row r="8" spans="2:34" ht="14.25" customHeight="1" x14ac:dyDescent="0.3">
      <c r="B8" s="1296"/>
      <c r="C8" s="1297"/>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0" t="s">
        <v>328</v>
      </c>
      <c r="V8" s="280" t="s">
        <v>329</v>
      </c>
      <c r="W8" s="280" t="s">
        <v>238</v>
      </c>
      <c r="X8" s="280" t="s">
        <v>327</v>
      </c>
      <c r="Y8" s="348" t="s">
        <v>328</v>
      </c>
      <c r="Z8" s="228" t="s">
        <v>329</v>
      </c>
      <c r="AA8" s="280" t="s">
        <v>238</v>
      </c>
      <c r="AB8" s="278" t="s">
        <v>327</v>
      </c>
      <c r="AC8" s="373" t="s">
        <v>328</v>
      </c>
      <c r="AD8" s="1302"/>
      <c r="AE8" s="1305"/>
    </row>
    <row r="9" spans="2:34" ht="23.85" customHeight="1" x14ac:dyDescent="0.3">
      <c r="B9" s="353" t="s">
        <v>384</v>
      </c>
      <c r="C9" s="378" t="s">
        <v>385</v>
      </c>
      <c r="D9" s="284">
        <f>'Haver Pivoted'!GO32</f>
        <v>587.79999999999995</v>
      </c>
      <c r="E9" s="285">
        <f>'Haver Pivoted'!GP32</f>
        <v>592.4</v>
      </c>
      <c r="F9" s="285">
        <f>'Haver Pivoted'!GQ32</f>
        <v>615.5</v>
      </c>
      <c r="G9" s="285">
        <f>'Haver Pivoted'!GR32</f>
        <v>610.4</v>
      </c>
      <c r="H9" s="285">
        <f>'Haver Pivoted'!GS32</f>
        <v>617.5</v>
      </c>
      <c r="I9" s="285">
        <f>'Haver Pivoted'!GT32</f>
        <v>638.6</v>
      </c>
      <c r="J9" s="285">
        <f>'Haver Pivoted'!GU32</f>
        <v>1395</v>
      </c>
      <c r="K9" s="285">
        <f>'Haver Pivoted'!GV32</f>
        <v>737.1</v>
      </c>
      <c r="L9" s="285">
        <f>'Haver Pivoted'!GW32</f>
        <v>744.8</v>
      </c>
      <c r="M9" s="285">
        <f>'Haver Pivoted'!GX32</f>
        <v>785.1</v>
      </c>
      <c r="N9" s="285">
        <f>'Haver Pivoted'!GY32</f>
        <v>1653.7</v>
      </c>
      <c r="O9" s="285">
        <f>'Haver Pivoted'!GZ32</f>
        <v>1085</v>
      </c>
      <c r="P9" s="285">
        <f>'Haver Pivoted'!HA32</f>
        <v>924.7</v>
      </c>
      <c r="Q9" s="285">
        <f>'Haver Pivoted'!HB32</f>
        <v>940</v>
      </c>
      <c r="R9" s="285">
        <f>'Haver Pivoted'!HC32</f>
        <v>960.5</v>
      </c>
      <c r="S9" s="286">
        <f>'Haver Pivoted'!HD32</f>
        <v>953.4</v>
      </c>
      <c r="T9" s="287">
        <f>'Haver Pivoted'!HE32</f>
        <v>917.2</v>
      </c>
      <c r="U9" s="217">
        <f t="shared" ref="U9:AC9" si="0">U10+U11</f>
        <v>912.39130535947254</v>
      </c>
      <c r="V9" s="252">
        <f t="shared" si="0"/>
        <v>896.50167845752514</v>
      </c>
      <c r="W9" s="252">
        <f t="shared" si="0"/>
        <v>881.23987712081646</v>
      </c>
      <c r="X9" s="252">
        <f t="shared" si="0"/>
        <v>850.99863485198387</v>
      </c>
      <c r="Y9" s="252">
        <f t="shared" si="0"/>
        <v>821.54652431709428</v>
      </c>
      <c r="Z9" s="252">
        <f t="shared" si="0"/>
        <v>798.18811578410998</v>
      </c>
      <c r="AA9" s="252">
        <f t="shared" si="0"/>
        <v>793.92275982579963</v>
      </c>
      <c r="AB9" s="252">
        <f t="shared" si="0"/>
        <v>772.18297085243853</v>
      </c>
      <c r="AC9" s="231">
        <f t="shared" si="0"/>
        <v>768.14401191520483</v>
      </c>
      <c r="AD9" s="332"/>
      <c r="AE9" s="382"/>
    </row>
    <row r="10" spans="2:34" ht="27.6" customHeight="1" x14ac:dyDescent="0.3">
      <c r="B10" s="388" t="s">
        <v>133</v>
      </c>
      <c r="C10" s="212" t="s">
        <v>386</v>
      </c>
      <c r="D10" s="30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1">
        <f>'Haver Pivoted'!HD40</f>
        <v>605.63699999999994</v>
      </c>
      <c r="T10" s="306">
        <f>'Haver Pivoted'!HE40</f>
        <v>604.87400000000002</v>
      </c>
      <c r="U10" s="311">
        <f>Medicaid!U28</f>
        <v>607.40230668028107</v>
      </c>
      <c r="V10" s="311">
        <f>Medicaid!V28</f>
        <v>589.55996124169314</v>
      </c>
      <c r="W10" s="311">
        <f>Medicaid!W28</f>
        <v>572.32620043872669</v>
      </c>
      <c r="X10" s="311">
        <f>Medicaid!X28</f>
        <v>565.35156818531721</v>
      </c>
      <c r="Y10" s="311">
        <f>Medicaid!Y28</f>
        <v>558.88844569073513</v>
      </c>
      <c r="Z10" s="311">
        <f>Medicaid!Z28</f>
        <v>552.4992098796447</v>
      </c>
      <c r="AA10" s="311">
        <f>Medicaid!AA28</f>
        <v>546.18301607642627</v>
      </c>
      <c r="AB10" s="311">
        <f>Medicaid!AB28</f>
        <v>536.24818151910517</v>
      </c>
      <c r="AC10" s="376">
        <f>Medicaid!AC28</f>
        <v>530.11777014379129</v>
      </c>
      <c r="AD10" s="283"/>
      <c r="AE10" s="361"/>
    </row>
    <row r="11" spans="2:34" ht="17.25" customHeight="1" x14ac:dyDescent="0.3">
      <c r="B11" s="243" t="s">
        <v>387</v>
      </c>
      <c r="C11" s="212"/>
      <c r="D11" s="30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1">
        <f t="shared" si="3"/>
        <v>347.76300000000003</v>
      </c>
      <c r="T11" s="306">
        <f t="shared" si="3"/>
        <v>312.32600000000002</v>
      </c>
      <c r="U11" s="311">
        <f t="shared" ref="U11:AC11" si="4">SUM(U12:U20)</f>
        <v>304.98899867919147</v>
      </c>
      <c r="V11" s="311">
        <f t="shared" si="4"/>
        <v>306.941717215832</v>
      </c>
      <c r="W11" s="311">
        <f t="shared" si="4"/>
        <v>308.91367668208977</v>
      </c>
      <c r="X11" s="311">
        <f t="shared" si="4"/>
        <v>285.64706666666666</v>
      </c>
      <c r="Y11" s="311">
        <f t="shared" si="4"/>
        <v>262.65807862635916</v>
      </c>
      <c r="Z11" s="311">
        <f t="shared" si="4"/>
        <v>245.68890590446529</v>
      </c>
      <c r="AA11" s="311">
        <f t="shared" si="4"/>
        <v>247.73974374937336</v>
      </c>
      <c r="AB11" s="311">
        <f t="shared" si="4"/>
        <v>235.93478933333333</v>
      </c>
      <c r="AC11" s="376">
        <f t="shared" si="4"/>
        <v>238.02624177141348</v>
      </c>
      <c r="AD11" s="283"/>
      <c r="AE11" s="361"/>
    </row>
    <row r="12" spans="2:34" ht="16.350000000000001" customHeight="1" x14ac:dyDescent="0.3">
      <c r="B12" s="277" t="s">
        <v>149</v>
      </c>
      <c r="C12" s="52" t="s">
        <v>388</v>
      </c>
      <c r="D12" s="397"/>
      <c r="E12" s="52"/>
      <c r="F12" s="52"/>
      <c r="G12" s="52"/>
      <c r="H12" s="68"/>
      <c r="I12" s="68"/>
      <c r="J12" s="68">
        <f>'Haver Pivoted'!GU56</f>
        <v>597.9</v>
      </c>
      <c r="K12" s="68"/>
      <c r="L12" s="68"/>
      <c r="M12" s="68"/>
      <c r="N12" s="68"/>
      <c r="O12" s="50">
        <v>0</v>
      </c>
      <c r="P12" s="50">
        <v>0</v>
      </c>
      <c r="Q12" s="50">
        <v>0</v>
      </c>
      <c r="R12" s="50">
        <v>0</v>
      </c>
      <c r="S12" s="50">
        <v>0</v>
      </c>
      <c r="T12" s="283">
        <v>0</v>
      </c>
      <c r="U12" s="311">
        <v>0</v>
      </c>
      <c r="V12" s="311">
        <v>0</v>
      </c>
      <c r="W12" s="311">
        <v>0</v>
      </c>
      <c r="X12" s="311">
        <v>0</v>
      </c>
      <c r="Y12" s="311">
        <v>0</v>
      </c>
      <c r="Z12" s="311">
        <v>0</v>
      </c>
      <c r="AA12" s="311">
        <v>0</v>
      </c>
      <c r="AB12" s="311">
        <v>0</v>
      </c>
      <c r="AC12" s="376">
        <v>0</v>
      </c>
      <c r="AD12" s="283">
        <f>SUM(I12:Y12)/4</f>
        <v>149.47499999999999</v>
      </c>
      <c r="AE12" s="361">
        <f>AD30</f>
        <v>150</v>
      </c>
    </row>
    <row r="13" spans="2:34" x14ac:dyDescent="0.3">
      <c r="B13" s="277" t="s">
        <v>150</v>
      </c>
      <c r="C13" s="52" t="s">
        <v>389</v>
      </c>
      <c r="D13" s="39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1">
        <f>'Haver Pivoted'!HD57</f>
        <v>68.3</v>
      </c>
      <c r="T13" s="306">
        <f>'Haver Pivoted'!HE57</f>
        <v>64</v>
      </c>
      <c r="U13" s="311">
        <f t="shared" ref="U13:AC13" si="5">U31+U35+U41</f>
        <v>60.929333333333297</v>
      </c>
      <c r="V13" s="311">
        <f t="shared" si="5"/>
        <v>60.929333333333297</v>
      </c>
      <c r="W13" s="311">
        <f t="shared" si="5"/>
        <v>60.929333333333297</v>
      </c>
      <c r="X13" s="311">
        <f t="shared" si="5"/>
        <v>54.244333333333302</v>
      </c>
      <c r="Y13" s="311">
        <f t="shared" si="5"/>
        <v>50.911000000000001</v>
      </c>
      <c r="Z13" s="311">
        <f t="shared" si="5"/>
        <v>31.911000000000001</v>
      </c>
      <c r="AA13" s="311">
        <f t="shared" si="5"/>
        <v>31.911000000000001</v>
      </c>
      <c r="AB13" s="311">
        <f t="shared" si="5"/>
        <v>23.099</v>
      </c>
      <c r="AC13" s="376">
        <f t="shared" si="5"/>
        <v>23.099</v>
      </c>
      <c r="AD13" s="283">
        <f t="shared" ref="AD13:AD19" si="6">SUM(I13:Y13)/4</f>
        <v>225.58583333333326</v>
      </c>
      <c r="AE13" s="361">
        <f>AD31+AD35+AD41</f>
        <v>225.76349999999994</v>
      </c>
      <c r="AF13" s="56">
        <f>SUM(J13:R13)/4</f>
        <v>120.52500000000001</v>
      </c>
    </row>
    <row r="14" spans="2:34" x14ac:dyDescent="0.3">
      <c r="B14" s="277" t="s">
        <v>152</v>
      </c>
      <c r="C14" s="49" t="s">
        <v>354</v>
      </c>
      <c r="D14" s="265"/>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1">
        <f>'Haver Pivoted'!HD58</f>
        <v>7.5</v>
      </c>
      <c r="T14" s="306">
        <f>'Haver Pivoted'!HE58</f>
        <v>6.2</v>
      </c>
      <c r="U14" s="311">
        <f>'Provider Relief (expired)'!U12</f>
        <v>0</v>
      </c>
      <c r="V14" s="311">
        <f>'Provider Relief (expired)'!V12</f>
        <v>0</v>
      </c>
      <c r="W14" s="311">
        <f>'Provider Relief (expired)'!W12</f>
        <v>0</v>
      </c>
      <c r="X14" s="311">
        <f>'Provider Relief (expired)'!X12</f>
        <v>0</v>
      </c>
      <c r="Y14" s="311">
        <f>'Provider Relief (expired)'!Y12</f>
        <v>0</v>
      </c>
      <c r="Z14" s="311">
        <f>'Provider Relief (expired)'!Z12</f>
        <v>0</v>
      </c>
      <c r="AA14" s="311">
        <f>'Provider Relief (expired)'!AA12</f>
        <v>0</v>
      </c>
      <c r="AB14" s="311">
        <f>'Provider Relief (expired)'!AB12</f>
        <v>0</v>
      </c>
      <c r="AC14" s="376">
        <f>'Provider Relief (expired)'!AC12</f>
        <v>0</v>
      </c>
      <c r="AD14" s="283">
        <f>SUM(I14:Y14)/4</f>
        <v>47.375</v>
      </c>
      <c r="AE14" s="361">
        <f>AD32+AD36+AD42</f>
        <v>34.125000000000007</v>
      </c>
    </row>
    <row r="15" spans="2:34" ht="15.75" customHeight="1" x14ac:dyDescent="0.3">
      <c r="B15" s="277" t="s">
        <v>390</v>
      </c>
      <c r="C15" s="49"/>
      <c r="D15" s="265"/>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83">
        <f t="shared" si="7"/>
        <v>9.6666666666666661</v>
      </c>
      <c r="U15" s="311">
        <f t="shared" si="7"/>
        <v>9.6666666666666661</v>
      </c>
      <c r="V15" s="311">
        <f t="shared" si="7"/>
        <v>9.6666666666666661</v>
      </c>
      <c r="W15" s="311">
        <f t="shared" si="7"/>
        <v>9.6666666666666661</v>
      </c>
      <c r="X15" s="311">
        <f t="shared" si="7"/>
        <v>9.6666666666666661</v>
      </c>
      <c r="Y15" s="311">
        <f t="shared" si="7"/>
        <v>0</v>
      </c>
      <c r="Z15" s="311">
        <f t="shared" si="7"/>
        <v>0</v>
      </c>
      <c r="AA15" s="311">
        <f t="shared" si="7"/>
        <v>0</v>
      </c>
      <c r="AB15" s="311">
        <f t="shared" si="7"/>
        <v>0</v>
      </c>
      <c r="AC15" s="376">
        <f t="shared" si="7"/>
        <v>0</v>
      </c>
      <c r="AD15" s="283">
        <f>SUM(I15:Y15)/4</f>
        <v>29.000000000000004</v>
      </c>
      <c r="AE15" s="362">
        <f>AD34</f>
        <v>29.000000000000004</v>
      </c>
      <c r="AF15" s="316" t="s">
        <v>391</v>
      </c>
      <c r="AG15" s="316"/>
      <c r="AH15" s="316"/>
    </row>
    <row r="16" spans="2:34" ht="31.35" customHeight="1" x14ac:dyDescent="0.3">
      <c r="B16" s="277" t="s">
        <v>392</v>
      </c>
      <c r="C16" s="49"/>
      <c r="D16" s="265"/>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83">
        <f t="shared" si="8"/>
        <v>12</v>
      </c>
      <c r="U16" s="311">
        <f t="shared" si="8"/>
        <v>12</v>
      </c>
      <c r="V16" s="311">
        <f t="shared" si="8"/>
        <v>12</v>
      </c>
      <c r="W16" s="311">
        <f t="shared" si="8"/>
        <v>12</v>
      </c>
      <c r="X16" s="311">
        <f t="shared" si="8"/>
        <v>12</v>
      </c>
      <c r="Y16" s="311">
        <f t="shared" si="8"/>
        <v>0</v>
      </c>
      <c r="Z16" s="311">
        <f t="shared" si="8"/>
        <v>0</v>
      </c>
      <c r="AA16" s="311">
        <f t="shared" si="8"/>
        <v>0</v>
      </c>
      <c r="AB16" s="311">
        <f t="shared" si="8"/>
        <v>0</v>
      </c>
      <c r="AC16" s="376">
        <f t="shared" si="8"/>
        <v>0</v>
      </c>
      <c r="AD16" s="283">
        <f>SUM(I16:Y16)/4</f>
        <v>36</v>
      </c>
      <c r="AE16" s="361">
        <f>SUM(AD37:AD38)+AD43</f>
        <v>130.3365</v>
      </c>
      <c r="AF16" s="316" t="s">
        <v>393</v>
      </c>
      <c r="AG16" s="316"/>
      <c r="AH16" s="316"/>
    </row>
    <row r="17" spans="1:34" x14ac:dyDescent="0.3">
      <c r="B17" s="277" t="s">
        <v>394</v>
      </c>
      <c r="C17" s="49"/>
      <c r="D17" s="265"/>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83">
        <f t="shared" si="9"/>
        <v>24.216000000000001</v>
      </c>
      <c r="U17" s="311">
        <f t="shared" si="9"/>
        <v>24.216000000000001</v>
      </c>
      <c r="V17" s="311">
        <f t="shared" si="9"/>
        <v>24.216000000000001</v>
      </c>
      <c r="W17" s="311">
        <f t="shared" si="9"/>
        <v>24.216000000000001</v>
      </c>
      <c r="X17" s="311">
        <f t="shared" si="9"/>
        <v>9.6430000000000007</v>
      </c>
      <c r="Y17" s="311">
        <f t="shared" si="9"/>
        <v>9.6430000000000007</v>
      </c>
      <c r="Z17" s="311">
        <f t="shared" si="9"/>
        <v>9.6430000000000007</v>
      </c>
      <c r="AA17" s="311">
        <f t="shared" si="9"/>
        <v>9.6430000000000007</v>
      </c>
      <c r="AB17" s="311">
        <f t="shared" si="9"/>
        <v>4.5789999999999997</v>
      </c>
      <c r="AC17" s="376">
        <f t="shared" si="9"/>
        <v>4.5789999999999997</v>
      </c>
      <c r="AD17" s="283">
        <f>SUM(I17:Y17)/4</f>
        <v>94.336500000000001</v>
      </c>
      <c r="AE17" s="361"/>
      <c r="AF17" s="316"/>
      <c r="AG17" s="316"/>
      <c r="AH17" s="316"/>
    </row>
    <row r="18" spans="1:34" ht="54" customHeight="1" x14ac:dyDescent="0.3">
      <c r="B18" s="369" t="s">
        <v>833</v>
      </c>
      <c r="C18" s="49"/>
      <c r="D18" s="265"/>
      <c r="E18" s="49"/>
      <c r="F18" s="49"/>
      <c r="G18" s="49"/>
      <c r="H18" s="68"/>
      <c r="I18" s="68"/>
      <c r="J18" s="68"/>
      <c r="K18" s="68"/>
      <c r="L18" s="68"/>
      <c r="M18" s="68"/>
      <c r="N18" s="50">
        <v>-40</v>
      </c>
      <c r="O18" s="50">
        <v>-40</v>
      </c>
      <c r="P18" s="50">
        <f>-51</f>
        <v>-51</v>
      </c>
      <c r="Q18" s="50">
        <f>-51</f>
        <v>-51</v>
      </c>
      <c r="R18" s="50">
        <v>-51</v>
      </c>
      <c r="S18" s="50">
        <f>-51</f>
        <v>-51</v>
      </c>
      <c r="T18" s="283">
        <v>0</v>
      </c>
      <c r="U18" s="311">
        <v>0</v>
      </c>
      <c r="V18" s="311">
        <v>0</v>
      </c>
      <c r="W18" s="311">
        <v>0</v>
      </c>
      <c r="X18" s="311">
        <v>-4</v>
      </c>
      <c r="Y18" s="311">
        <v>-4</v>
      </c>
      <c r="Z18" s="311">
        <v>-4</v>
      </c>
      <c r="AA18" s="311">
        <v>-4</v>
      </c>
      <c r="AB18" s="311">
        <v>-4</v>
      </c>
      <c r="AC18" s="376">
        <v>-4</v>
      </c>
      <c r="AD18" s="283"/>
      <c r="AE18" s="361"/>
      <c r="AF18" s="316"/>
      <c r="AG18" s="316"/>
      <c r="AH18" s="316"/>
    </row>
    <row r="19" spans="1:34" ht="15.75" customHeight="1" x14ac:dyDescent="0.3">
      <c r="B19" s="277" t="s">
        <v>395</v>
      </c>
      <c r="C19" s="52" t="s">
        <v>396</v>
      </c>
      <c r="D19" s="265"/>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1">
        <f>'Haver Pivoted'!HD56</f>
        <v>0</v>
      </c>
      <c r="T19" s="306">
        <f>'Haver Pivoted'!HE56</f>
        <v>0</v>
      </c>
      <c r="U19" s="312">
        <f t="shared" ref="U19:AC19" si="10">U40</f>
        <v>0</v>
      </c>
      <c r="V19" s="312">
        <f t="shared" si="10"/>
        <v>0</v>
      </c>
      <c r="W19" s="312">
        <f t="shared" si="10"/>
        <v>0</v>
      </c>
      <c r="X19" s="312">
        <f t="shared" si="10"/>
        <v>0</v>
      </c>
      <c r="Y19" s="312">
        <f t="shared" si="10"/>
        <v>0</v>
      </c>
      <c r="Z19" s="312">
        <f t="shared" si="10"/>
        <v>0</v>
      </c>
      <c r="AA19" s="312">
        <f t="shared" si="10"/>
        <v>0</v>
      </c>
      <c r="AB19" s="312">
        <f t="shared" si="10"/>
        <v>0</v>
      </c>
      <c r="AC19" s="375">
        <f t="shared" si="10"/>
        <v>0</v>
      </c>
      <c r="AD19" s="283">
        <f t="shared" si="6"/>
        <v>245.9</v>
      </c>
      <c r="AE19" s="361">
        <f>AD40</f>
        <v>362.04999999999995</v>
      </c>
      <c r="AF19" s="343"/>
      <c r="AH19" s="316"/>
    </row>
    <row r="20" spans="1:34" ht="15.75" customHeight="1" x14ac:dyDescent="0.3">
      <c r="A20" s="319"/>
      <c r="B20" s="317" t="s">
        <v>397</v>
      </c>
      <c r="C20" s="335"/>
      <c r="D20" s="333">
        <f t="shared" ref="D20:T20" si="11">D11-SUM(D12:D19)</f>
        <v>197.26499999999993</v>
      </c>
      <c r="E20" s="335">
        <f t="shared" si="11"/>
        <v>184.779</v>
      </c>
      <c r="F20" s="335">
        <f t="shared" si="11"/>
        <v>199.041</v>
      </c>
      <c r="G20" s="335">
        <f t="shared" si="11"/>
        <v>191.73899999999998</v>
      </c>
      <c r="H20" s="335">
        <f t="shared" si="11"/>
        <v>205.80500000000001</v>
      </c>
      <c r="I20" s="335">
        <f t="shared" si="11"/>
        <v>210.29200000000003</v>
      </c>
      <c r="J20" s="335">
        <f t="shared" si="11"/>
        <v>197.48400000000004</v>
      </c>
      <c r="K20" s="335">
        <f t="shared" si="11"/>
        <v>213.12000000000006</v>
      </c>
      <c r="L20" s="335">
        <f t="shared" si="11"/>
        <v>215.54199999999997</v>
      </c>
      <c r="M20" s="335">
        <f t="shared" si="11"/>
        <v>213.11233333333337</v>
      </c>
      <c r="N20" s="335">
        <f t="shared" si="11"/>
        <v>224.76033333333339</v>
      </c>
      <c r="O20" s="335">
        <f t="shared" si="11"/>
        <v>222.12433333333337</v>
      </c>
      <c r="P20" s="335">
        <f t="shared" si="11"/>
        <v>250.09733333333338</v>
      </c>
      <c r="Q20" s="335">
        <f t="shared" si="11"/>
        <v>253.39533333333327</v>
      </c>
      <c r="R20" s="335">
        <f t="shared" si="11"/>
        <v>266.9323333333333</v>
      </c>
      <c r="S20" s="282">
        <f t="shared" si="11"/>
        <v>265.62533333333334</v>
      </c>
      <c r="T20" s="307">
        <f t="shared" si="11"/>
        <v>196.24333333333334</v>
      </c>
      <c r="U20" s="242">
        <f t="shared" ref="U20:AC20" si="12">T20*(1.04)^0.25</f>
        <v>198.17699867919148</v>
      </c>
      <c r="V20" s="242">
        <f t="shared" si="12"/>
        <v>200.12971721583202</v>
      </c>
      <c r="W20" s="242">
        <f t="shared" si="12"/>
        <v>202.10167668208979</v>
      </c>
      <c r="X20" s="242">
        <f t="shared" si="12"/>
        <v>204.09306666666666</v>
      </c>
      <c r="Y20" s="242">
        <f t="shared" si="12"/>
        <v>206.10407862635913</v>
      </c>
      <c r="Z20" s="242">
        <f t="shared" si="12"/>
        <v>208.13490590446528</v>
      </c>
      <c r="AA20" s="242">
        <f t="shared" si="12"/>
        <v>210.18574374937336</v>
      </c>
      <c r="AB20" s="242">
        <f t="shared" si="12"/>
        <v>212.25678933333333</v>
      </c>
      <c r="AC20" s="394">
        <f t="shared" si="12"/>
        <v>214.34824177141348</v>
      </c>
      <c r="AD20" s="367"/>
      <c r="AE20" s="363"/>
      <c r="AF20" s="316" t="s">
        <v>398</v>
      </c>
      <c r="AG20" s="316"/>
      <c r="AH20" s="316"/>
    </row>
    <row r="21" spans="1:34" ht="15.75" customHeight="1" x14ac:dyDescent="0.3">
      <c r="A21" s="2"/>
      <c r="B21" s="318"/>
      <c r="C21" s="49"/>
      <c r="D21" s="49"/>
      <c r="E21" s="49"/>
      <c r="F21" s="49"/>
      <c r="G21" s="49"/>
      <c r="H21" s="49"/>
      <c r="I21" s="49"/>
      <c r="J21" s="49"/>
      <c r="K21" s="49"/>
      <c r="L21" s="49"/>
      <c r="M21" s="49"/>
      <c r="N21" s="49"/>
      <c r="O21" s="330"/>
      <c r="P21" s="49"/>
      <c r="Q21" s="214"/>
      <c r="R21" s="214"/>
      <c r="S21" s="214"/>
      <c r="T21" s="214"/>
      <c r="U21" s="214"/>
      <c r="V21" s="214"/>
      <c r="W21" s="214"/>
      <c r="X21" s="214"/>
      <c r="Y21" s="214"/>
      <c r="Z21" s="214"/>
      <c r="AA21" s="214"/>
      <c r="AB21" s="214"/>
      <c r="AC21" s="214"/>
      <c r="AD21" s="214"/>
      <c r="AE21" s="322"/>
      <c r="AF21" s="316"/>
      <c r="AG21" s="316"/>
      <c r="AH21" s="316"/>
    </row>
    <row r="22" spans="1:34" ht="15.75" customHeight="1" x14ac:dyDescent="0.3">
      <c r="A22" s="2"/>
      <c r="B22" s="318"/>
      <c r="C22" s="49"/>
      <c r="D22" s="49"/>
      <c r="E22" s="49"/>
      <c r="F22" s="49"/>
      <c r="G22" s="49"/>
      <c r="H22" s="49"/>
      <c r="I22" s="49"/>
      <c r="J22" s="49"/>
      <c r="K22" s="49"/>
      <c r="L22" s="49"/>
      <c r="M22" s="49"/>
      <c r="N22" s="49"/>
      <c r="O22" s="330"/>
      <c r="P22" s="49"/>
      <c r="Q22" s="214"/>
      <c r="R22" s="214"/>
      <c r="AD22" s="214"/>
      <c r="AE22" s="322"/>
      <c r="AF22" s="316"/>
      <c r="AG22" s="316"/>
      <c r="AH22" s="316"/>
    </row>
    <row r="23" spans="1:34" ht="15.75" customHeight="1" x14ac:dyDescent="0.3">
      <c r="A23" s="2"/>
      <c r="B23" s="318"/>
      <c r="C23" s="49"/>
      <c r="D23" s="49"/>
      <c r="E23" s="49"/>
      <c r="F23" s="49"/>
      <c r="G23" s="49"/>
      <c r="H23" s="49"/>
      <c r="I23" s="49"/>
      <c r="J23" s="49"/>
      <c r="K23" s="49"/>
      <c r="L23" s="49"/>
      <c r="M23" s="49"/>
      <c r="N23" s="49"/>
      <c r="O23" s="330"/>
      <c r="P23" s="49"/>
      <c r="Q23" s="214"/>
      <c r="R23" s="214"/>
      <c r="AD23" s="214"/>
      <c r="AE23" s="322"/>
      <c r="AF23" s="316"/>
      <c r="AG23" s="316"/>
      <c r="AH23" s="316"/>
    </row>
    <row r="24" spans="1:34" ht="15.75" customHeight="1" x14ac:dyDescent="0.3">
      <c r="A24" s="2"/>
      <c r="B24" s="318"/>
      <c r="C24" s="49"/>
      <c r="D24" s="49"/>
      <c r="E24" s="49"/>
      <c r="F24" s="49"/>
      <c r="G24" s="49"/>
      <c r="H24" s="49"/>
      <c r="I24" s="49"/>
      <c r="J24" s="49"/>
      <c r="K24" s="49"/>
      <c r="L24" s="49"/>
      <c r="M24" s="49"/>
      <c r="N24" s="49"/>
      <c r="O24" s="330"/>
      <c r="P24" s="49"/>
      <c r="Q24" s="214"/>
      <c r="R24" s="214"/>
      <c r="S24" s="214"/>
      <c r="T24" s="214"/>
      <c r="U24" s="214"/>
      <c r="V24" s="214"/>
      <c r="W24" s="214"/>
      <c r="X24" s="214"/>
      <c r="Y24" s="214"/>
      <c r="Z24" s="214"/>
      <c r="AA24" s="214"/>
      <c r="AB24" s="214"/>
      <c r="AC24" s="214"/>
      <c r="AD24" s="214"/>
      <c r="AE24" s="322"/>
      <c r="AF24" s="316"/>
      <c r="AG24" s="316"/>
      <c r="AH24" s="316"/>
    </row>
    <row r="25" spans="1:34" ht="15.75" customHeight="1" x14ac:dyDescent="0.3">
      <c r="A25" s="2"/>
      <c r="B25" s="318"/>
      <c r="C25" s="49"/>
      <c r="D25" s="49"/>
      <c r="E25" s="49"/>
      <c r="F25" s="49"/>
      <c r="G25" s="49"/>
      <c r="H25" s="49"/>
      <c r="I25" s="49"/>
      <c r="J25" s="49"/>
      <c r="K25" s="49"/>
      <c r="L25" s="49"/>
      <c r="M25" s="49"/>
      <c r="N25" s="49"/>
      <c r="O25" s="330"/>
      <c r="P25" s="49"/>
      <c r="Q25" s="214"/>
      <c r="R25" s="214"/>
      <c r="S25" s="214"/>
      <c r="T25" s="214"/>
      <c r="U25" s="214"/>
      <c r="V25" s="214"/>
      <c r="W25" s="214"/>
      <c r="X25" s="214"/>
      <c r="Y25" s="214"/>
      <c r="Z25" s="214"/>
      <c r="AA25" s="214"/>
      <c r="AB25" s="214"/>
      <c r="AC25" s="214"/>
      <c r="AD25" s="214"/>
      <c r="AE25" s="322"/>
      <c r="AF25" s="316"/>
      <c r="AG25" s="316"/>
      <c r="AH25" s="316"/>
    </row>
    <row r="26" spans="1:34" x14ac:dyDescent="0.3">
      <c r="C26" s="49"/>
      <c r="D26" s="49"/>
      <c r="E26" s="323"/>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
      <c r="B27" s="354"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
      <c r="B28" s="1307" t="s">
        <v>400</v>
      </c>
      <c r="C28" s="1308"/>
      <c r="D28" s="1309"/>
      <c r="E28" s="1309"/>
      <c r="F28" s="1309"/>
      <c r="G28" s="1309"/>
      <c r="H28" s="1309"/>
      <c r="I28" s="1309"/>
      <c r="J28" s="1309"/>
      <c r="K28" s="1309"/>
      <c r="L28" s="1309"/>
      <c r="M28" s="1309"/>
      <c r="N28" s="1309"/>
      <c r="O28" s="1309"/>
      <c r="P28" s="1309"/>
      <c r="Q28" s="1309"/>
      <c r="R28" s="1309"/>
      <c r="S28" s="1309"/>
      <c r="T28" s="1309"/>
      <c r="U28" s="1309"/>
      <c r="V28" s="1309"/>
      <c r="W28" s="1309"/>
      <c r="X28" s="1309"/>
      <c r="Y28" s="1309"/>
      <c r="Z28" s="1309"/>
      <c r="AA28" s="1309"/>
      <c r="AB28" s="1309"/>
      <c r="AC28" s="1310"/>
      <c r="AD28" s="365" t="s">
        <v>382</v>
      </c>
      <c r="AE28" s="364"/>
    </row>
    <row r="29" spans="1:34" ht="17.850000000000001" customHeight="1" x14ac:dyDescent="0.3">
      <c r="B29" s="374" t="s">
        <v>401</v>
      </c>
      <c r="C29" s="49"/>
      <c r="D29" s="390"/>
      <c r="E29" s="377"/>
      <c r="F29" s="377"/>
      <c r="G29" s="377"/>
      <c r="H29" s="370"/>
      <c r="I29" s="370"/>
      <c r="J29" s="309">
        <f>SUM(J30:J32)</f>
        <v>692.8</v>
      </c>
      <c r="K29" s="309">
        <f t="shared" ref="K29:P29" si="13">SUM(K30:K32)</f>
        <v>39.200000000000003</v>
      </c>
      <c r="L29" s="309">
        <f t="shared" si="13"/>
        <v>29</v>
      </c>
      <c r="M29" s="309">
        <f t="shared" si="13"/>
        <v>27</v>
      </c>
      <c r="N29" s="309">
        <f t="shared" si="13"/>
        <v>18</v>
      </c>
      <c r="O29" s="309">
        <f t="shared" si="13"/>
        <v>0</v>
      </c>
      <c r="P29" s="391">
        <f t="shared" si="13"/>
        <v>0</v>
      </c>
      <c r="Q29" s="309"/>
      <c r="R29" s="309"/>
      <c r="S29" s="309"/>
      <c r="T29" s="368"/>
      <c r="U29" s="368"/>
      <c r="V29" s="368"/>
      <c r="W29" s="368"/>
      <c r="X29" s="368"/>
      <c r="Y29" s="368"/>
      <c r="Z29" s="368"/>
      <c r="AA29" s="368"/>
      <c r="AB29" s="368"/>
      <c r="AC29" s="349"/>
      <c r="AD29" s="283">
        <f t="shared" ref="AD29:AD43" si="14">SUM(I29:Y29)/4</f>
        <v>201.5</v>
      </c>
      <c r="AE29" s="1313" t="s">
        <v>402</v>
      </c>
      <c r="AF29" s="1314"/>
    </row>
    <row r="30" spans="1:34" x14ac:dyDescent="0.3">
      <c r="B30" s="320" t="s">
        <v>149</v>
      </c>
      <c r="C30" s="49"/>
      <c r="D30" s="265"/>
      <c r="E30" s="49"/>
      <c r="F30" s="49"/>
      <c r="G30" s="49"/>
      <c r="H30" s="50"/>
      <c r="I30" s="50"/>
      <c r="J30" s="290">
        <f>C50*4</f>
        <v>600</v>
      </c>
      <c r="K30" s="290"/>
      <c r="L30" s="290"/>
      <c r="M30" s="290"/>
      <c r="N30" s="290"/>
      <c r="O30" s="290"/>
      <c r="P30" s="293"/>
      <c r="Q30" s="290"/>
      <c r="R30" s="290"/>
      <c r="S30" s="290"/>
      <c r="T30" s="312"/>
      <c r="U30" s="312"/>
      <c r="V30" s="312"/>
      <c r="W30" s="312"/>
      <c r="X30" s="312"/>
      <c r="Y30" s="312"/>
      <c r="Z30" s="312"/>
      <c r="AA30" s="312"/>
      <c r="AB30" s="312"/>
      <c r="AC30" s="375"/>
      <c r="AD30" s="283">
        <f t="shared" si="14"/>
        <v>150</v>
      </c>
      <c r="AE30" s="290"/>
    </row>
    <row r="31" spans="1:34" ht="15" customHeight="1" x14ac:dyDescent="0.3">
      <c r="B31" s="320" t="s">
        <v>150</v>
      </c>
      <c r="C31" s="49"/>
      <c r="D31" s="265"/>
      <c r="E31" s="49"/>
      <c r="F31" s="49"/>
      <c r="G31" s="49"/>
      <c r="H31" s="50"/>
      <c r="I31" s="50"/>
      <c r="J31" s="290">
        <v>28.4</v>
      </c>
      <c r="K31" s="290">
        <v>15.8</v>
      </c>
      <c r="L31" s="290">
        <v>15.2</v>
      </c>
      <c r="M31" s="290">
        <v>10.9</v>
      </c>
      <c r="N31" s="290">
        <v>18</v>
      </c>
      <c r="O31" s="290"/>
      <c r="P31" s="293"/>
      <c r="Q31" s="290"/>
      <c r="R31" s="290"/>
      <c r="S31" s="290">
        <v>20</v>
      </c>
      <c r="T31" s="310">
        <v>10</v>
      </c>
      <c r="U31" s="312"/>
      <c r="V31" s="312"/>
      <c r="W31" s="312"/>
      <c r="X31" s="312"/>
      <c r="Y31" s="312"/>
      <c r="Z31" s="312"/>
      <c r="AA31" s="312"/>
      <c r="AB31" s="312"/>
      <c r="AC31" s="375"/>
      <c r="AD31" s="283">
        <f t="shared" si="14"/>
        <v>29.575000000000003</v>
      </c>
      <c r="AE31" s="290"/>
    </row>
    <row r="32" spans="1:34" x14ac:dyDescent="0.3">
      <c r="B32" s="320" t="s">
        <v>152</v>
      </c>
      <c r="C32" s="49"/>
      <c r="D32" s="265"/>
      <c r="E32" s="49"/>
      <c r="F32" s="49"/>
      <c r="G32" s="49"/>
      <c r="H32" s="50"/>
      <c r="I32" s="50"/>
      <c r="J32" s="212">
        <v>64.400000000000006</v>
      </c>
      <c r="K32" s="212">
        <v>23.4</v>
      </c>
      <c r="L32" s="212">
        <v>13.8</v>
      </c>
      <c r="M32" s="212">
        <v>16.100000000000001</v>
      </c>
      <c r="N32" s="290"/>
      <c r="O32" s="290"/>
      <c r="P32" s="293"/>
      <c r="Q32" s="290"/>
      <c r="R32" s="290"/>
      <c r="S32" s="290"/>
      <c r="T32" s="312"/>
      <c r="U32" s="312"/>
      <c r="V32" s="312"/>
      <c r="W32" s="312"/>
      <c r="X32" s="312"/>
      <c r="Y32" s="312"/>
      <c r="Z32" s="312"/>
      <c r="AA32" s="312"/>
      <c r="AB32" s="312"/>
      <c r="AC32" s="375"/>
      <c r="AD32" s="283">
        <f t="shared" si="14"/>
        <v>29.425000000000004</v>
      </c>
      <c r="AE32" s="290"/>
    </row>
    <row r="33" spans="1:88" ht="16.5" customHeight="1" x14ac:dyDescent="0.3">
      <c r="B33" s="374" t="s">
        <v>403</v>
      </c>
      <c r="C33" s="49"/>
      <c r="D33" s="265"/>
      <c r="E33" s="49"/>
      <c r="F33" s="49"/>
      <c r="G33" s="49"/>
      <c r="H33" s="50"/>
      <c r="I33" s="50"/>
      <c r="J33" s="50"/>
      <c r="K33" s="50"/>
      <c r="L33" s="50"/>
      <c r="M33" s="290">
        <f>SUM(M34:M38)</f>
        <v>43</v>
      </c>
      <c r="N33" s="290">
        <f t="shared" ref="N33:AC33" si="15">SUM(N34:N38)</f>
        <v>70</v>
      </c>
      <c r="O33" s="290">
        <f t="shared" si="15"/>
        <v>59.999999999999964</v>
      </c>
      <c r="P33" s="293">
        <f t="shared" si="15"/>
        <v>50</v>
      </c>
      <c r="Q33" s="290">
        <f t="shared" si="15"/>
        <v>44.999999999999964</v>
      </c>
      <c r="R33" s="290">
        <f t="shared" si="15"/>
        <v>44.999999999999964</v>
      </c>
      <c r="S33" s="290">
        <f t="shared" si="15"/>
        <v>44.999999999999964</v>
      </c>
      <c r="T33" s="312">
        <f t="shared" si="15"/>
        <v>44.999999999999964</v>
      </c>
      <c r="U33" s="312">
        <f t="shared" si="15"/>
        <v>44.999999999999964</v>
      </c>
      <c r="V33" s="312">
        <f t="shared" si="15"/>
        <v>44.999999999999964</v>
      </c>
      <c r="W33" s="312">
        <f t="shared" si="15"/>
        <v>44.999999999999964</v>
      </c>
      <c r="X33" s="312">
        <f t="shared" si="15"/>
        <v>44.999999999999964</v>
      </c>
      <c r="Y33" s="312">
        <f t="shared" si="15"/>
        <v>19</v>
      </c>
      <c r="Z33" s="312">
        <f t="shared" si="15"/>
        <v>0</v>
      </c>
      <c r="AA33" s="312">
        <f t="shared" si="15"/>
        <v>0</v>
      </c>
      <c r="AB33" s="312">
        <f t="shared" si="15"/>
        <v>0</v>
      </c>
      <c r="AC33" s="375">
        <f t="shared" si="15"/>
        <v>0</v>
      </c>
      <c r="AD33" s="283">
        <f t="shared" si="14"/>
        <v>150.49999999999991</v>
      </c>
      <c r="AE33" s="1313" t="s">
        <v>404</v>
      </c>
      <c r="AF33" s="1314"/>
    </row>
    <row r="34" spans="1:88" x14ac:dyDescent="0.3">
      <c r="B34" s="320" t="s">
        <v>390</v>
      </c>
      <c r="C34" s="49"/>
      <c r="D34" s="265"/>
      <c r="E34" s="49"/>
      <c r="F34" s="49"/>
      <c r="G34" s="49"/>
      <c r="H34" s="50"/>
      <c r="I34" s="50"/>
      <c r="J34" s="50"/>
      <c r="K34" s="50"/>
      <c r="L34" s="50"/>
      <c r="M34" s="290">
        <f>C53/12*4</f>
        <v>9.6666666666666661</v>
      </c>
      <c r="N34" s="290">
        <f>M34</f>
        <v>9.6666666666666661</v>
      </c>
      <c r="O34" s="290">
        <f t="shared" ref="O34:X34" si="16">N34</f>
        <v>9.6666666666666661</v>
      </c>
      <c r="P34" s="293">
        <f t="shared" si="16"/>
        <v>9.6666666666666661</v>
      </c>
      <c r="Q34" s="290">
        <f t="shared" si="16"/>
        <v>9.6666666666666661</v>
      </c>
      <c r="R34" s="290">
        <f t="shared" si="16"/>
        <v>9.6666666666666661</v>
      </c>
      <c r="S34" s="290">
        <f t="shared" si="16"/>
        <v>9.6666666666666661</v>
      </c>
      <c r="T34" s="312">
        <f t="shared" si="16"/>
        <v>9.6666666666666661</v>
      </c>
      <c r="U34" s="312">
        <f t="shared" si="16"/>
        <v>9.6666666666666661</v>
      </c>
      <c r="V34" s="312">
        <f t="shared" si="16"/>
        <v>9.6666666666666661</v>
      </c>
      <c r="W34" s="312">
        <f t="shared" si="16"/>
        <v>9.6666666666666661</v>
      </c>
      <c r="X34" s="312">
        <f t="shared" si="16"/>
        <v>9.6666666666666661</v>
      </c>
      <c r="Y34" s="311"/>
      <c r="Z34" s="311"/>
      <c r="AA34" s="311"/>
      <c r="AB34" s="311"/>
      <c r="AC34" s="376"/>
      <c r="AD34" s="283">
        <f t="shared" si="14"/>
        <v>29.000000000000004</v>
      </c>
      <c r="AE34" s="1313"/>
      <c r="AF34" s="1314"/>
    </row>
    <row r="35" spans="1:88" ht="41.85" customHeight="1" x14ac:dyDescent="0.3">
      <c r="B35" s="320" t="s">
        <v>150</v>
      </c>
      <c r="C35" s="49"/>
      <c r="D35" s="265"/>
      <c r="E35" s="49"/>
      <c r="F35" s="49"/>
      <c r="G35" s="49"/>
      <c r="H35" s="50"/>
      <c r="I35" s="50"/>
      <c r="J35" s="50"/>
      <c r="K35" s="50"/>
      <c r="L35" s="50"/>
      <c r="M35" s="350">
        <f>C64/12*4 - 7</f>
        <v>20.333333333333332</v>
      </c>
      <c r="N35" s="350">
        <f>C64/12*4 + 20</f>
        <v>47.333333333333329</v>
      </c>
      <c r="O35" s="350">
        <v>37.3333333333333</v>
      </c>
      <c r="P35" s="392">
        <v>27.333333333333332</v>
      </c>
      <c r="Q35" s="350">
        <v>22.3333333333333</v>
      </c>
      <c r="R35" s="350">
        <v>22.3333333333333</v>
      </c>
      <c r="S35" s="350">
        <v>22.3333333333333</v>
      </c>
      <c r="T35" s="380">
        <v>22.3333333333333</v>
      </c>
      <c r="U35" s="380">
        <v>22.3333333333333</v>
      </c>
      <c r="V35" s="380">
        <v>22.3333333333333</v>
      </c>
      <c r="W35" s="380">
        <v>22.3333333333333</v>
      </c>
      <c r="X35" s="380">
        <v>22.3333333333333</v>
      </c>
      <c r="Y35" s="380">
        <v>19</v>
      </c>
      <c r="Z35" s="380"/>
      <c r="AA35" s="380"/>
      <c r="AB35" s="380"/>
      <c r="AC35" s="381"/>
      <c r="AD35" s="283">
        <f>SUM(I35:Y35)/4</f>
        <v>82.499999999999943</v>
      </c>
      <c r="AE35" s="386" t="s">
        <v>405</v>
      </c>
    </row>
    <row r="36" spans="1:88" x14ac:dyDescent="0.3">
      <c r="B36" s="320" t="s">
        <v>152</v>
      </c>
      <c r="C36" s="49"/>
      <c r="D36" s="265"/>
      <c r="E36" s="49"/>
      <c r="F36" s="49"/>
      <c r="G36" s="49"/>
      <c r="H36" s="50"/>
      <c r="I36" s="50"/>
      <c r="J36" s="50"/>
      <c r="K36" s="50"/>
      <c r="L36" s="50"/>
      <c r="M36" s="290">
        <f>C65/12*4</f>
        <v>1</v>
      </c>
      <c r="N36" s="290">
        <f>C65/12*4</f>
        <v>1</v>
      </c>
      <c r="O36" s="290">
        <f t="shared" ref="O36:X36" si="17">$C$65/12*4</f>
        <v>1</v>
      </c>
      <c r="P36" s="293">
        <f t="shared" si="17"/>
        <v>1</v>
      </c>
      <c r="Q36" s="290">
        <f t="shared" si="17"/>
        <v>1</v>
      </c>
      <c r="R36" s="290">
        <f t="shared" si="17"/>
        <v>1</v>
      </c>
      <c r="S36" s="290">
        <f t="shared" si="17"/>
        <v>1</v>
      </c>
      <c r="T36" s="312">
        <f t="shared" si="17"/>
        <v>1</v>
      </c>
      <c r="U36" s="312">
        <f t="shared" si="17"/>
        <v>1</v>
      </c>
      <c r="V36" s="312">
        <f t="shared" si="17"/>
        <v>1</v>
      </c>
      <c r="W36" s="312">
        <f t="shared" si="17"/>
        <v>1</v>
      </c>
      <c r="X36" s="312">
        <f t="shared" si="17"/>
        <v>1</v>
      </c>
      <c r="Y36" s="311"/>
      <c r="Z36" s="311"/>
      <c r="AA36" s="311"/>
      <c r="AB36" s="311"/>
      <c r="AC36" s="376"/>
      <c r="AD36" s="283">
        <f t="shared" si="14"/>
        <v>3</v>
      </c>
      <c r="AE36" s="50"/>
    </row>
    <row r="37" spans="1:88" ht="13.35" customHeight="1" x14ac:dyDescent="0.3">
      <c r="B37" s="320" t="s">
        <v>406</v>
      </c>
      <c r="C37" s="49"/>
      <c r="D37" s="265"/>
      <c r="E37" s="49"/>
      <c r="F37" s="49"/>
      <c r="G37" s="49"/>
      <c r="H37" s="50"/>
      <c r="I37" s="50"/>
      <c r="J37" s="50"/>
      <c r="K37" s="50"/>
      <c r="L37" s="50"/>
      <c r="M37" s="290">
        <f t="shared" ref="M37:X37" si="18">$C$66/12*4</f>
        <v>11.333333333333334</v>
      </c>
      <c r="N37" s="290">
        <f t="shared" si="18"/>
        <v>11.333333333333334</v>
      </c>
      <c r="O37" s="290">
        <f t="shared" si="18"/>
        <v>11.333333333333334</v>
      </c>
      <c r="P37" s="293">
        <f t="shared" si="18"/>
        <v>11.333333333333334</v>
      </c>
      <c r="Q37" s="290">
        <f t="shared" si="18"/>
        <v>11.333333333333334</v>
      </c>
      <c r="R37" s="290">
        <f t="shared" si="18"/>
        <v>11.333333333333334</v>
      </c>
      <c r="S37" s="290">
        <f t="shared" si="18"/>
        <v>11.333333333333334</v>
      </c>
      <c r="T37" s="312">
        <f t="shared" si="18"/>
        <v>11.333333333333334</v>
      </c>
      <c r="U37" s="312">
        <f t="shared" si="18"/>
        <v>11.333333333333334</v>
      </c>
      <c r="V37" s="312">
        <f t="shared" si="18"/>
        <v>11.333333333333334</v>
      </c>
      <c r="W37" s="312">
        <f t="shared" si="18"/>
        <v>11.333333333333334</v>
      </c>
      <c r="X37" s="312">
        <f t="shared" si="18"/>
        <v>11.333333333333334</v>
      </c>
      <c r="Y37" s="311"/>
      <c r="Z37" s="311"/>
      <c r="AA37" s="311"/>
      <c r="AB37" s="311"/>
      <c r="AC37" s="376"/>
      <c r="AD37" s="283">
        <f t="shared" si="14"/>
        <v>33.999999999999993</v>
      </c>
      <c r="AE37" s="50"/>
    </row>
    <row r="38" spans="1:88" ht="29.25" customHeight="1" x14ac:dyDescent="0.3">
      <c r="B38" s="320" t="s">
        <v>407</v>
      </c>
      <c r="C38" s="49"/>
      <c r="D38" s="265"/>
      <c r="E38" s="49"/>
      <c r="F38" s="49"/>
      <c r="G38" s="49"/>
      <c r="H38" s="50"/>
      <c r="I38" s="50"/>
      <c r="J38" s="50"/>
      <c r="K38" s="50"/>
      <c r="L38" s="50"/>
      <c r="M38" s="290">
        <f t="shared" ref="M38:X38" si="19">$C$67/12*4</f>
        <v>0.66666666666666663</v>
      </c>
      <c r="N38" s="290">
        <f t="shared" si="19"/>
        <v>0.66666666666666663</v>
      </c>
      <c r="O38" s="290">
        <f t="shared" si="19"/>
        <v>0.66666666666666663</v>
      </c>
      <c r="P38" s="293">
        <f t="shared" si="19"/>
        <v>0.66666666666666663</v>
      </c>
      <c r="Q38" s="290">
        <f t="shared" si="19"/>
        <v>0.66666666666666663</v>
      </c>
      <c r="R38" s="290">
        <f t="shared" si="19"/>
        <v>0.66666666666666663</v>
      </c>
      <c r="S38" s="290">
        <f t="shared" si="19"/>
        <v>0.66666666666666663</v>
      </c>
      <c r="T38" s="312">
        <f t="shared" si="19"/>
        <v>0.66666666666666663</v>
      </c>
      <c r="U38" s="312">
        <f t="shared" si="19"/>
        <v>0.66666666666666663</v>
      </c>
      <c r="V38" s="312">
        <f t="shared" si="19"/>
        <v>0.66666666666666663</v>
      </c>
      <c r="W38" s="312">
        <f t="shared" si="19"/>
        <v>0.66666666666666663</v>
      </c>
      <c r="X38" s="312">
        <f t="shared" si="19"/>
        <v>0.66666666666666663</v>
      </c>
      <c r="Y38" s="311"/>
      <c r="Z38" s="311"/>
      <c r="AA38" s="311"/>
      <c r="AB38" s="311"/>
      <c r="AC38" s="376"/>
      <c r="AD38" s="283">
        <f t="shared" si="14"/>
        <v>2</v>
      </c>
      <c r="AE38" s="50"/>
    </row>
    <row r="39" spans="1:88" ht="44.25" customHeight="1" x14ac:dyDescent="0.3">
      <c r="B39" s="374" t="s">
        <v>408</v>
      </c>
      <c r="C39" s="49"/>
      <c r="D39" s="265"/>
      <c r="E39" s="49"/>
      <c r="F39" s="49"/>
      <c r="G39" s="49"/>
      <c r="H39" s="50"/>
      <c r="I39" s="50"/>
      <c r="J39" s="50"/>
      <c r="K39" s="50"/>
      <c r="L39" s="50"/>
      <c r="M39" s="290"/>
      <c r="N39" s="290">
        <f t="shared" ref="N39:AC39" si="20">SUM(N40:N44)</f>
        <v>954.03959999999972</v>
      </c>
      <c r="O39" s="290">
        <f t="shared" si="20"/>
        <v>85.500399999999999</v>
      </c>
      <c r="P39" s="293">
        <f t="shared" si="20"/>
        <v>83.481000000000009</v>
      </c>
      <c r="Q39" s="290">
        <f t="shared" si="20"/>
        <v>662.76099999999997</v>
      </c>
      <c r="R39" s="290">
        <f t="shared" si="20"/>
        <v>83.481000000000009</v>
      </c>
      <c r="S39" s="290">
        <f t="shared" si="20"/>
        <v>83.481000000000009</v>
      </c>
      <c r="T39" s="312">
        <f t="shared" si="20"/>
        <v>62.811999999999998</v>
      </c>
      <c r="U39" s="312">
        <f t="shared" si="20"/>
        <v>62.811999999999998</v>
      </c>
      <c r="V39" s="312">
        <f t="shared" si="20"/>
        <v>62.811999999999998</v>
      </c>
      <c r="W39" s="312">
        <f t="shared" si="20"/>
        <v>62.811999999999998</v>
      </c>
      <c r="X39" s="312">
        <f t="shared" si="20"/>
        <v>41.554000000000002</v>
      </c>
      <c r="Y39" s="312">
        <f t="shared" si="20"/>
        <v>41.554000000000002</v>
      </c>
      <c r="Z39" s="312">
        <f t="shared" si="20"/>
        <v>41.554000000000002</v>
      </c>
      <c r="AA39" s="312">
        <f t="shared" si="20"/>
        <v>41.554000000000002</v>
      </c>
      <c r="AB39" s="312">
        <f t="shared" si="20"/>
        <v>27.678000000000001</v>
      </c>
      <c r="AC39" s="375">
        <f t="shared" si="20"/>
        <v>27.678000000000001</v>
      </c>
      <c r="AD39" s="283">
        <f t="shared" si="14"/>
        <v>571.77499999999986</v>
      </c>
      <c r="AE39" s="1313" t="s">
        <v>409</v>
      </c>
      <c r="AF39" s="1314"/>
    </row>
    <row r="40" spans="1:88" ht="17.850000000000001" customHeight="1" x14ac:dyDescent="0.3">
      <c r="B40" s="320" t="s">
        <v>395</v>
      </c>
      <c r="C40" s="49"/>
      <c r="D40" s="265"/>
      <c r="E40" s="49"/>
      <c r="F40" s="49"/>
      <c r="G40" s="49"/>
      <c r="H40" s="50"/>
      <c r="I40" s="50"/>
      <c r="J40" s="50"/>
      <c r="K40" s="50"/>
      <c r="L40" s="50"/>
      <c r="M40" s="290"/>
      <c r="N40" s="290">
        <f>0.6*C69*4</f>
        <v>868.91999999999985</v>
      </c>
      <c r="O40" s="290"/>
      <c r="P40" s="293"/>
      <c r="Q40" s="290">
        <f>0.4*C69*4</f>
        <v>579.28</v>
      </c>
      <c r="R40" s="290"/>
      <c r="S40" s="290"/>
      <c r="T40" s="312"/>
      <c r="U40" s="312"/>
      <c r="V40" s="312"/>
      <c r="W40" s="312"/>
      <c r="X40" s="312"/>
      <c r="Y40" s="312"/>
      <c r="Z40" s="312"/>
      <c r="AA40" s="312"/>
      <c r="AB40" s="312"/>
      <c r="AC40" s="375"/>
      <c r="AD40" s="283">
        <f t="shared" si="14"/>
        <v>362.04999999999995</v>
      </c>
      <c r="AE40" s="343" t="s">
        <v>410</v>
      </c>
      <c r="AF40" s="343"/>
    </row>
    <row r="41" spans="1:88" x14ac:dyDescent="0.3">
      <c r="B41" s="320" t="s">
        <v>150</v>
      </c>
      <c r="C41" s="49"/>
      <c r="D41" s="265"/>
      <c r="E41" s="49"/>
      <c r="F41" s="49"/>
      <c r="G41" s="49"/>
      <c r="H41" s="50"/>
      <c r="I41" s="50"/>
      <c r="J41" s="50"/>
      <c r="K41" s="50"/>
      <c r="L41" s="50"/>
      <c r="M41" s="290"/>
      <c r="N41" s="290">
        <f>'ARP Quarterly'!D9</f>
        <v>24.693999999999999</v>
      </c>
      <c r="O41" s="290">
        <f>'ARP Quarterly'!E9</f>
        <v>24.693999999999999</v>
      </c>
      <c r="P41" s="293">
        <f>'ARP Quarterly'!F9</f>
        <v>46.79</v>
      </c>
      <c r="Q41" s="290">
        <f>'ARP Quarterly'!G9</f>
        <v>46.79</v>
      </c>
      <c r="R41" s="290">
        <f>'ARP Quarterly'!H9</f>
        <v>46.79</v>
      </c>
      <c r="S41" s="290">
        <f>'ARP Quarterly'!I9</f>
        <v>46.79</v>
      </c>
      <c r="T41" s="312">
        <f>'ARP Quarterly'!J9</f>
        <v>38.595999999999997</v>
      </c>
      <c r="U41" s="312">
        <f>'ARP Quarterly'!K9</f>
        <v>38.595999999999997</v>
      </c>
      <c r="V41" s="312">
        <f>'ARP Quarterly'!L9</f>
        <v>38.595999999999997</v>
      </c>
      <c r="W41" s="312">
        <f>'ARP Quarterly'!M9</f>
        <v>38.595999999999997</v>
      </c>
      <c r="X41" s="312">
        <f>'ARP Quarterly'!N9</f>
        <v>31.911000000000001</v>
      </c>
      <c r="Y41" s="312">
        <f>'ARP Quarterly'!O9</f>
        <v>31.911000000000001</v>
      </c>
      <c r="Z41" s="312">
        <f>'ARP Quarterly'!P9</f>
        <v>31.911000000000001</v>
      </c>
      <c r="AA41" s="312">
        <f>'ARP Quarterly'!Q9</f>
        <v>31.911000000000001</v>
      </c>
      <c r="AB41" s="312">
        <f>'ARP Quarterly'!R9</f>
        <v>23.099</v>
      </c>
      <c r="AC41" s="375">
        <f>'ARP Quarterly'!S9</f>
        <v>23.099</v>
      </c>
      <c r="AD41" s="283">
        <f t="shared" si="14"/>
        <v>113.68849999999999</v>
      </c>
      <c r="AE41" s="290"/>
    </row>
    <row r="42" spans="1:88" x14ac:dyDescent="0.3">
      <c r="B42" s="320" t="s">
        <v>152</v>
      </c>
      <c r="C42" s="49"/>
      <c r="D42" s="265"/>
      <c r="E42" s="49"/>
      <c r="F42" s="49"/>
      <c r="G42" s="49"/>
      <c r="H42" s="50"/>
      <c r="I42" s="50"/>
      <c r="J42" s="50"/>
      <c r="K42" s="50"/>
      <c r="L42" s="50"/>
      <c r="M42" s="290"/>
      <c r="N42" s="290">
        <f>'ARP Quarterly'!D14</f>
        <v>1.1696</v>
      </c>
      <c r="O42" s="290">
        <f>'ARP Quarterly'!E14</f>
        <v>1.5503999999999998</v>
      </c>
      <c r="P42" s="293">
        <f>'ARP Quarterly'!F14</f>
        <v>1.02</v>
      </c>
      <c r="Q42" s="290">
        <f>'ARP Quarterly'!G14</f>
        <v>1.02</v>
      </c>
      <c r="R42" s="290">
        <f>'ARP Quarterly'!H14</f>
        <v>1.02</v>
      </c>
      <c r="S42" s="290">
        <f>'ARP Quarterly'!I14</f>
        <v>1.02</v>
      </c>
      <c r="T42" s="312">
        <f>'ARP Quarterly'!J14</f>
        <v>0</v>
      </c>
      <c r="U42" s="312">
        <f>'ARP Quarterly'!K14</f>
        <v>0</v>
      </c>
      <c r="V42" s="312">
        <f>'ARP Quarterly'!L14</f>
        <v>0</v>
      </c>
      <c r="W42" s="312">
        <f>'ARP Quarterly'!M14</f>
        <v>0</v>
      </c>
      <c r="X42" s="312">
        <f>'ARP Quarterly'!N14</f>
        <v>0</v>
      </c>
      <c r="Y42" s="312">
        <f>'ARP Quarterly'!O14</f>
        <v>0</v>
      </c>
      <c r="Z42" s="312">
        <f>'ARP Quarterly'!P14</f>
        <v>0</v>
      </c>
      <c r="AA42" s="312">
        <f>'ARP Quarterly'!Q14</f>
        <v>0</v>
      </c>
      <c r="AB42" s="312">
        <f>'ARP Quarterly'!R14</f>
        <v>0</v>
      </c>
      <c r="AC42" s="375">
        <f>'ARP Quarterly'!S14</f>
        <v>0</v>
      </c>
      <c r="AD42" s="283">
        <f t="shared" si="14"/>
        <v>1.6999999999999997</v>
      </c>
      <c r="AE42" s="290"/>
    </row>
    <row r="43" spans="1:88" x14ac:dyDescent="0.3">
      <c r="B43" s="320" t="s">
        <v>411</v>
      </c>
      <c r="C43" s="49"/>
      <c r="D43" s="265"/>
      <c r="E43" s="49"/>
      <c r="F43" s="49"/>
      <c r="G43" s="49"/>
      <c r="H43" s="50"/>
      <c r="I43" s="50"/>
      <c r="J43" s="50"/>
      <c r="K43" s="50"/>
      <c r="L43" s="50"/>
      <c r="M43" s="290"/>
      <c r="N43" s="290">
        <f>'ARP Quarterly'!D10</f>
        <v>59.256</v>
      </c>
      <c r="O43" s="290">
        <f>'ARP Quarterly'!E10</f>
        <v>59.256</v>
      </c>
      <c r="P43" s="293">
        <f>'ARP Quarterly'!F10</f>
        <v>35.671000000000006</v>
      </c>
      <c r="Q43" s="290">
        <f>'ARP Quarterly'!G10</f>
        <v>35.671000000000006</v>
      </c>
      <c r="R43" s="290">
        <f>'ARP Quarterly'!H10</f>
        <v>35.671000000000006</v>
      </c>
      <c r="S43" s="290">
        <f>'ARP Quarterly'!I10</f>
        <v>35.671000000000006</v>
      </c>
      <c r="T43" s="312">
        <f>'ARP Quarterly'!J10</f>
        <v>24.216000000000001</v>
      </c>
      <c r="U43" s="312">
        <f>'ARP Quarterly'!K10</f>
        <v>24.216000000000001</v>
      </c>
      <c r="V43" s="312">
        <f>'ARP Quarterly'!L10</f>
        <v>24.216000000000001</v>
      </c>
      <c r="W43" s="312">
        <f>'ARP Quarterly'!M10</f>
        <v>24.216000000000001</v>
      </c>
      <c r="X43" s="312">
        <f>'ARP Quarterly'!N10</f>
        <v>9.6430000000000007</v>
      </c>
      <c r="Y43" s="312">
        <f>'ARP Quarterly'!O10</f>
        <v>9.6430000000000007</v>
      </c>
      <c r="Z43" s="312">
        <f>'ARP Quarterly'!P10</f>
        <v>9.6430000000000007</v>
      </c>
      <c r="AA43" s="312">
        <f>'ARP Quarterly'!Q10</f>
        <v>9.6430000000000007</v>
      </c>
      <c r="AB43" s="312">
        <f>'ARP Quarterly'!R10</f>
        <v>4.5789999999999997</v>
      </c>
      <c r="AC43" s="375">
        <f>'ARP Quarterly'!S10</f>
        <v>4.5789999999999997</v>
      </c>
      <c r="AD43" s="283">
        <f t="shared" si="14"/>
        <v>94.336500000000001</v>
      </c>
      <c r="AE43" s="290"/>
    </row>
    <row r="44" spans="1:88" x14ac:dyDescent="0.3">
      <c r="A44" s="2"/>
      <c r="B44" s="338"/>
      <c r="C44" s="335"/>
      <c r="D44" s="333"/>
      <c r="E44" s="335"/>
      <c r="F44" s="335"/>
      <c r="G44" s="335"/>
      <c r="H44" s="340"/>
      <c r="I44" s="340"/>
      <c r="J44" s="340"/>
      <c r="K44" s="340"/>
      <c r="L44" s="340"/>
      <c r="M44" s="351"/>
      <c r="N44" s="351"/>
      <c r="O44" s="351"/>
      <c r="P44" s="366"/>
      <c r="Q44" s="351"/>
      <c r="R44" s="351"/>
      <c r="S44" s="351"/>
      <c r="T44" s="344"/>
      <c r="U44" s="344"/>
      <c r="V44" s="344"/>
      <c r="W44" s="344"/>
      <c r="X44" s="344"/>
      <c r="Y44" s="344"/>
      <c r="Z44" s="344"/>
      <c r="AA44" s="344"/>
      <c r="AB44" s="344"/>
      <c r="AC44" s="345"/>
      <c r="AD44" s="366"/>
      <c r="AE44" s="290"/>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row>
    <row r="45" spans="1:88" x14ac:dyDescent="0.3">
      <c r="B45" s="318"/>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
      <c r="B46" s="318"/>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50000000000001" customHeight="1" x14ac:dyDescent="0.3">
      <c r="B47" s="346"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85" customHeight="1" x14ac:dyDescent="0.3">
      <c r="B48" s="383" t="s">
        <v>413</v>
      </c>
      <c r="C48" s="384" t="s">
        <v>414</v>
      </c>
      <c r="D48" s="385" t="s">
        <v>415</v>
      </c>
      <c r="E48" s="359" t="s">
        <v>416</v>
      </c>
      <c r="F48" s="50"/>
      <c r="G48" s="50"/>
      <c r="H48" s="50"/>
      <c r="I48" s="50"/>
      <c r="J48" s="50"/>
      <c r="K48" s="50"/>
      <c r="L48" s="50"/>
      <c r="M48" s="50"/>
      <c r="N48" s="50"/>
      <c r="O48" s="50"/>
      <c r="P48" s="50"/>
      <c r="Q48" s="50"/>
      <c r="R48" s="50"/>
      <c r="S48" s="50"/>
      <c r="T48" s="50"/>
      <c r="U48" s="50"/>
      <c r="V48" s="50"/>
      <c r="W48" s="50"/>
    </row>
    <row r="49" spans="2:34" ht="18.75" customHeight="1" x14ac:dyDescent="0.3">
      <c r="B49" s="389" t="s">
        <v>417</v>
      </c>
      <c r="C49" s="341">
        <f>SUM(C50:C55)</f>
        <v>898.11599999999999</v>
      </c>
      <c r="D49" s="50">
        <f>SUM(D50:D54)</f>
        <v>202.36666666666667</v>
      </c>
      <c r="E49" s="279">
        <f>SUM(E50:E54)</f>
        <v>650.35233333333326</v>
      </c>
      <c r="F49" s="50"/>
      <c r="G49" s="50"/>
      <c r="H49" s="50"/>
      <c r="I49" s="50"/>
      <c r="J49" s="50"/>
      <c r="K49" s="50"/>
      <c r="L49" s="50"/>
      <c r="M49" s="50"/>
      <c r="N49" s="50"/>
      <c r="O49" s="50"/>
      <c r="P49" s="50"/>
      <c r="Q49" s="50"/>
      <c r="R49" s="50"/>
      <c r="S49" s="50"/>
      <c r="T49" s="50"/>
      <c r="U49" s="50"/>
      <c r="V49" s="50"/>
      <c r="W49" s="50"/>
    </row>
    <row r="50" spans="2:34" x14ac:dyDescent="0.3">
      <c r="B50" s="388" t="s">
        <v>149</v>
      </c>
      <c r="C50" s="341">
        <f>C59</f>
        <v>150</v>
      </c>
      <c r="D50" s="50">
        <f>SUM(H12:M12)/4</f>
        <v>149.47499999999999</v>
      </c>
      <c r="E50" s="283">
        <f>C50-D50</f>
        <v>0.52500000000000568</v>
      </c>
      <c r="F50" s="50"/>
      <c r="G50" s="50"/>
      <c r="H50" s="50"/>
      <c r="I50" s="331"/>
      <c r="J50" s="331"/>
      <c r="K50" s="331"/>
      <c r="L50" s="331"/>
      <c r="M50" s="331"/>
      <c r="N50" s="331"/>
      <c r="O50" s="331"/>
      <c r="P50" s="331"/>
      <c r="Q50" s="50"/>
      <c r="R50" s="50"/>
      <c r="S50" s="50"/>
      <c r="T50" s="50"/>
      <c r="U50" s="50"/>
      <c r="V50" s="50"/>
      <c r="W50" s="50"/>
    </row>
    <row r="51" spans="2:34" x14ac:dyDescent="0.3">
      <c r="B51" s="388" t="s">
        <v>150</v>
      </c>
      <c r="C51" s="393">
        <f>C60+C64+C70</f>
        <v>273.16899999999998</v>
      </c>
      <c r="D51" s="50">
        <f>SUM(H13:M13)/4</f>
        <v>22.075000000000003</v>
      </c>
      <c r="E51" s="283">
        <f>C51-D51</f>
        <v>251.09399999999999</v>
      </c>
      <c r="F51" s="50"/>
      <c r="G51" s="50"/>
      <c r="H51" s="50"/>
      <c r="I51" s="331"/>
      <c r="J51" s="331"/>
      <c r="K51" s="331"/>
      <c r="L51" s="331"/>
      <c r="M51" s="331"/>
      <c r="N51" s="331"/>
      <c r="O51" s="331"/>
      <c r="P51" s="331"/>
      <c r="Q51" s="50"/>
      <c r="R51" s="50"/>
      <c r="S51" s="50"/>
      <c r="T51" s="50"/>
      <c r="U51" s="50"/>
      <c r="V51" s="50"/>
      <c r="W51" s="50"/>
    </row>
    <row r="52" spans="2:34" x14ac:dyDescent="0.3">
      <c r="B52" s="388" t="s">
        <v>152</v>
      </c>
      <c r="C52" s="253">
        <f>C61+C71+C65</f>
        <v>38.5</v>
      </c>
      <c r="D52" s="50">
        <f>SUM(H14:M14)/4</f>
        <v>28.400000000000002</v>
      </c>
      <c r="E52" s="283">
        <f>C52-D52</f>
        <v>10.099999999999998</v>
      </c>
      <c r="F52" s="50"/>
      <c r="G52" s="50"/>
      <c r="H52" s="50"/>
      <c r="I52" s="331"/>
      <c r="J52" s="331"/>
      <c r="K52" s="331"/>
      <c r="L52" s="331"/>
      <c r="M52" s="331"/>
      <c r="N52" s="331"/>
      <c r="O52" s="331"/>
      <c r="P52" s="331"/>
      <c r="Q52" s="1311"/>
      <c r="R52" s="1311"/>
      <c r="S52" s="1311"/>
      <c r="T52" s="1311"/>
      <c r="U52" s="1311"/>
      <c r="V52" s="1311"/>
      <c r="W52" s="1311"/>
      <c r="X52" s="1311"/>
      <c r="Y52" s="1311"/>
      <c r="Z52" s="1311"/>
      <c r="AA52" s="1311"/>
      <c r="AB52" s="1311"/>
      <c r="AC52" s="1311"/>
      <c r="AD52" s="1311"/>
      <c r="AE52" s="1311"/>
      <c r="AF52" s="1311"/>
      <c r="AG52" s="1311"/>
      <c r="AH52" s="1311"/>
    </row>
    <row r="53" spans="2:34" ht="17.25" customHeight="1" x14ac:dyDescent="0.3">
      <c r="B53" s="388" t="s">
        <v>418</v>
      </c>
      <c r="C53" s="253">
        <f>C63</f>
        <v>29</v>
      </c>
      <c r="D53" s="50">
        <f>SUM(H15:M15)/4</f>
        <v>2.4166666666666665</v>
      </c>
      <c r="E53" s="283">
        <f>C53-D53</f>
        <v>26.583333333333332</v>
      </c>
      <c r="F53" s="50"/>
      <c r="G53" s="50"/>
      <c r="H53" s="50"/>
      <c r="I53" s="331"/>
      <c r="J53" s="331"/>
      <c r="K53" s="331"/>
      <c r="L53" s="331"/>
      <c r="M53" s="331"/>
      <c r="N53" s="331"/>
      <c r="O53" s="331"/>
      <c r="P53" s="331"/>
      <c r="Q53" s="1312"/>
      <c r="R53" s="1312"/>
      <c r="S53" s="1312"/>
      <c r="T53" s="1312"/>
      <c r="U53" s="1312"/>
      <c r="V53" s="1312"/>
      <c r="W53" s="1312"/>
      <c r="X53" s="1312"/>
      <c r="Y53" s="1312"/>
      <c r="Z53" s="209"/>
      <c r="AA53" s="209"/>
      <c r="AB53" s="209"/>
      <c r="AC53" s="209"/>
      <c r="AD53" s="1312"/>
      <c r="AE53" s="1312"/>
      <c r="AF53" s="1312"/>
      <c r="AG53" s="1312"/>
      <c r="AH53" s="209"/>
    </row>
    <row r="54" spans="2:34" ht="15.75" customHeight="1" x14ac:dyDescent="0.3">
      <c r="B54" s="388" t="s">
        <v>395</v>
      </c>
      <c r="C54" s="253">
        <f>C69</f>
        <v>362.04999999999995</v>
      </c>
      <c r="D54" s="50">
        <v>0</v>
      </c>
      <c r="E54" s="283">
        <f>C54-D54</f>
        <v>362.04999999999995</v>
      </c>
      <c r="F54" s="50"/>
      <c r="G54" s="50"/>
      <c r="H54" s="50"/>
      <c r="I54" s="331"/>
      <c r="J54" s="331"/>
      <c r="K54" s="331"/>
      <c r="L54" s="331"/>
      <c r="M54" s="331"/>
      <c r="N54" s="331"/>
      <c r="O54" s="331"/>
      <c r="P54" s="331"/>
      <c r="Q54" s="209"/>
      <c r="R54" s="209"/>
      <c r="S54" s="209"/>
      <c r="T54" s="209"/>
      <c r="U54" s="209"/>
      <c r="V54" s="209"/>
      <c r="W54" s="209"/>
      <c r="X54" s="209"/>
      <c r="Y54" s="209"/>
      <c r="Z54" s="209"/>
      <c r="AA54" s="209"/>
      <c r="AB54" s="209"/>
      <c r="AC54" s="209"/>
      <c r="AD54" s="209"/>
      <c r="AE54" s="209"/>
      <c r="AF54" s="209"/>
      <c r="AG54" s="209"/>
      <c r="AH54" s="209"/>
    </row>
    <row r="55" spans="2:34" ht="15" customHeight="1" x14ac:dyDescent="0.3">
      <c r="B55" s="387" t="s">
        <v>419</v>
      </c>
      <c r="C55" s="341">
        <f>C72+C73+C66+C67</f>
        <v>45.396999999999998</v>
      </c>
      <c r="D55" s="50"/>
      <c r="E55" s="283"/>
      <c r="F55" s="50"/>
      <c r="G55" s="50"/>
      <c r="H55" s="50"/>
      <c r="I55" s="331"/>
      <c r="J55" s="331"/>
      <c r="K55" s="331"/>
      <c r="L55" s="331"/>
      <c r="M55" s="331"/>
      <c r="N55" s="331"/>
      <c r="O55" s="331"/>
      <c r="P55" s="331"/>
      <c r="Q55" s="50"/>
      <c r="R55" s="50"/>
      <c r="S55" s="50"/>
      <c r="T55" s="50"/>
      <c r="U55" s="50"/>
      <c r="V55" s="50"/>
      <c r="W55" s="50"/>
    </row>
    <row r="56" spans="2:34" ht="5.25" customHeight="1" x14ac:dyDescent="0.3">
      <c r="B56" s="387"/>
      <c r="C56" s="341"/>
      <c r="D56" s="50"/>
      <c r="E56" s="283"/>
      <c r="F56" s="50"/>
      <c r="G56" s="50"/>
      <c r="H56" s="50"/>
      <c r="I56" s="331"/>
      <c r="J56" s="331"/>
      <c r="K56" s="331"/>
      <c r="L56" s="331"/>
      <c r="M56" s="331"/>
      <c r="N56" s="331"/>
      <c r="O56" s="331"/>
      <c r="P56" s="331"/>
      <c r="Q56" s="50"/>
      <c r="R56" s="50"/>
      <c r="S56" s="50"/>
      <c r="T56" s="50"/>
      <c r="U56" s="50"/>
      <c r="V56" s="50"/>
      <c r="W56" s="50"/>
    </row>
    <row r="57" spans="2:34" ht="18.75" customHeight="1" x14ac:dyDescent="0.3">
      <c r="B57" s="389" t="s">
        <v>420</v>
      </c>
      <c r="C57" s="253">
        <f>C58+C62+C68</f>
        <v>898.11599999999999</v>
      </c>
      <c r="D57" s="50"/>
      <c r="E57" s="283"/>
      <c r="F57" s="50"/>
      <c r="G57" s="50"/>
      <c r="H57" s="50"/>
      <c r="I57" s="331"/>
      <c r="J57" s="331"/>
      <c r="K57" s="331"/>
      <c r="L57" s="331"/>
      <c r="M57" s="331"/>
      <c r="N57" s="331"/>
      <c r="O57" s="331"/>
      <c r="P57" s="331"/>
      <c r="Q57" s="50"/>
      <c r="R57" s="50"/>
      <c r="S57" s="50"/>
      <c r="T57" s="50"/>
      <c r="U57" s="50"/>
      <c r="V57" s="50"/>
      <c r="W57" s="50"/>
    </row>
    <row r="58" spans="2:34" ht="16.350000000000001" customHeight="1" x14ac:dyDescent="0.3">
      <c r="B58" s="374" t="s">
        <v>401</v>
      </c>
      <c r="C58" s="253">
        <f>SUM(C59:C61)</f>
        <v>199</v>
      </c>
      <c r="D58" s="50"/>
      <c r="E58" s="283"/>
      <c r="F58" s="50"/>
      <c r="G58" s="50"/>
      <c r="H58" s="50"/>
      <c r="I58" s="331"/>
      <c r="J58" s="331"/>
      <c r="K58" s="331"/>
      <c r="L58" s="331"/>
      <c r="M58" s="331"/>
      <c r="N58" s="331"/>
      <c r="O58" s="331"/>
      <c r="P58" s="331"/>
      <c r="Q58" s="50"/>
      <c r="R58" s="50"/>
      <c r="S58" s="50"/>
      <c r="T58" s="50"/>
      <c r="U58" s="50"/>
      <c r="V58" s="50"/>
      <c r="W58" s="50"/>
    </row>
    <row r="59" spans="2:34" ht="20.85" customHeight="1" x14ac:dyDescent="0.3">
      <c r="B59" s="320" t="s">
        <v>149</v>
      </c>
      <c r="C59" s="253">
        <v>150</v>
      </c>
      <c r="D59" s="50"/>
      <c r="E59" s="283"/>
      <c r="F59" s="50"/>
      <c r="G59" s="50"/>
      <c r="H59" s="50"/>
      <c r="I59" s="331"/>
      <c r="J59" s="331"/>
      <c r="K59" s="331"/>
      <c r="L59" s="331"/>
      <c r="M59" s="331"/>
      <c r="N59" s="331"/>
      <c r="O59" s="331"/>
      <c r="P59" s="331"/>
      <c r="Q59" s="50"/>
      <c r="R59" s="50"/>
      <c r="S59" s="50"/>
      <c r="T59" s="50"/>
      <c r="U59" s="50"/>
      <c r="V59" s="50"/>
      <c r="W59" s="50"/>
    </row>
    <row r="60" spans="2:34" ht="16.5" customHeight="1" x14ac:dyDescent="0.3">
      <c r="B60" s="320" t="s">
        <v>150</v>
      </c>
      <c r="C60" s="393">
        <v>22</v>
      </c>
      <c r="D60" s="212"/>
      <c r="E60" s="283"/>
      <c r="F60" s="50"/>
      <c r="G60" s="50"/>
      <c r="H60" s="50"/>
      <c r="I60" s="331"/>
      <c r="J60" s="331"/>
      <c r="K60" s="331"/>
      <c r="L60" s="331"/>
      <c r="M60" s="331"/>
      <c r="N60" s="331"/>
      <c r="O60" s="331"/>
      <c r="P60" s="331"/>
      <c r="Q60" s="50"/>
      <c r="R60" s="50"/>
      <c r="S60" s="50"/>
      <c r="T60" s="50"/>
      <c r="U60" s="50"/>
      <c r="V60" s="50"/>
      <c r="W60" s="50"/>
    </row>
    <row r="61" spans="2:34" x14ac:dyDescent="0.3">
      <c r="B61" s="320" t="s">
        <v>152</v>
      </c>
      <c r="C61" s="253">
        <v>27</v>
      </c>
      <c r="D61" s="50"/>
      <c r="E61" s="283"/>
      <c r="F61" s="49"/>
      <c r="G61" s="50"/>
      <c r="H61" s="50"/>
      <c r="I61" s="331"/>
      <c r="J61" s="331"/>
      <c r="K61" s="331"/>
      <c r="L61" s="331"/>
      <c r="M61" s="331"/>
      <c r="N61" s="331"/>
      <c r="P61" s="331"/>
      <c r="Q61" s="50"/>
      <c r="R61" s="50"/>
      <c r="S61" s="50"/>
      <c r="T61" s="50"/>
      <c r="U61" s="50"/>
      <c r="V61" s="50"/>
      <c r="W61" s="50"/>
    </row>
    <row r="62" spans="2:34" ht="15" customHeight="1" x14ac:dyDescent="0.3">
      <c r="B62" s="374" t="s">
        <v>403</v>
      </c>
      <c r="C62" s="253">
        <f>SUM(C63:C67)</f>
        <v>150</v>
      </c>
      <c r="D62" s="50"/>
      <c r="E62" s="283"/>
      <c r="F62" s="50"/>
      <c r="G62" s="50"/>
      <c r="H62" s="50"/>
      <c r="I62" s="50"/>
      <c r="J62" s="50"/>
      <c r="K62" s="50"/>
      <c r="L62" s="50"/>
      <c r="M62" s="50"/>
      <c r="N62" s="50"/>
      <c r="P62" s="50"/>
      <c r="Q62" s="50"/>
      <c r="R62" s="50"/>
      <c r="S62" s="50"/>
      <c r="T62" s="50"/>
      <c r="U62" s="50"/>
      <c r="V62" s="50"/>
      <c r="W62" s="50"/>
    </row>
    <row r="63" spans="2:34" ht="17.25" customHeight="1" x14ac:dyDescent="0.3">
      <c r="B63" s="320" t="s">
        <v>390</v>
      </c>
      <c r="C63" s="253">
        <f>'Response and Relief Act Score'!F7</f>
        <v>29</v>
      </c>
      <c r="D63" s="50"/>
      <c r="E63" s="283"/>
      <c r="F63" s="50"/>
      <c r="G63" s="50"/>
      <c r="H63" s="50"/>
      <c r="I63" s="50"/>
    </row>
    <row r="64" spans="2:34" x14ac:dyDescent="0.3">
      <c r="B64" s="320" t="s">
        <v>150</v>
      </c>
      <c r="C64" s="253">
        <f>'Response and Relief Act Score'!F5</f>
        <v>82</v>
      </c>
      <c r="D64" s="50"/>
      <c r="E64" s="283"/>
      <c r="F64" s="50"/>
      <c r="G64" s="50"/>
      <c r="H64" s="50"/>
      <c r="I64" s="50"/>
      <c r="J64" s="50"/>
      <c r="K64" s="50"/>
      <c r="L64" s="50"/>
      <c r="M64" s="50"/>
      <c r="N64" s="50"/>
      <c r="P64" s="50"/>
      <c r="Q64" s="50"/>
      <c r="R64" s="50"/>
      <c r="S64" s="50"/>
      <c r="T64" s="50"/>
      <c r="U64" s="50"/>
      <c r="V64" s="50"/>
      <c r="W64" s="50"/>
    </row>
    <row r="65" spans="1:31" x14ac:dyDescent="0.3">
      <c r="B65" s="320" t="s">
        <v>152</v>
      </c>
      <c r="C65" s="253">
        <f>'Response and Relief Act Score'!F6</f>
        <v>3</v>
      </c>
      <c r="D65" s="50"/>
      <c r="E65" s="283"/>
      <c r="F65" s="50"/>
      <c r="G65" s="50"/>
      <c r="H65" s="50"/>
      <c r="I65" s="50"/>
      <c r="J65" s="50"/>
      <c r="K65" s="50"/>
      <c r="L65" s="50"/>
      <c r="M65" s="50"/>
      <c r="N65" s="50"/>
      <c r="P65" s="50"/>
      <c r="Q65" s="50"/>
      <c r="R65" s="50"/>
      <c r="S65" s="50"/>
      <c r="T65" s="50"/>
      <c r="U65" s="50"/>
      <c r="V65" s="50"/>
      <c r="W65" s="50"/>
    </row>
    <row r="66" spans="1:31" ht="29.25" customHeight="1" x14ac:dyDescent="0.3">
      <c r="B66" s="320" t="s">
        <v>406</v>
      </c>
      <c r="C66" s="253">
        <f>'Response and Relief Act Score'!F9</f>
        <v>34</v>
      </c>
      <c r="D66" s="50"/>
      <c r="E66" s="283"/>
      <c r="F66" s="50"/>
      <c r="G66" s="50"/>
      <c r="H66" s="50"/>
      <c r="I66" s="347"/>
      <c r="J66" s="50"/>
      <c r="K66" s="50"/>
      <c r="L66" s="50"/>
      <c r="M66" s="50"/>
      <c r="N66" s="50"/>
      <c r="O66" s="331"/>
      <c r="P66" s="50"/>
      <c r="Q66" s="50"/>
      <c r="R66" s="50"/>
      <c r="S66" s="50"/>
      <c r="T66" s="50"/>
      <c r="U66" s="50"/>
      <c r="V66" s="50"/>
      <c r="W66" s="50"/>
    </row>
    <row r="67" spans="1:31" ht="12.75" customHeight="1" x14ac:dyDescent="0.3">
      <c r="B67" s="320" t="s">
        <v>407</v>
      </c>
      <c r="C67" s="253">
        <f>'Response and Relief Act Score'!F8</f>
        <v>2</v>
      </c>
      <c r="D67" s="50"/>
      <c r="E67" s="283"/>
      <c r="F67" s="50"/>
      <c r="G67" s="50"/>
      <c r="H67" s="50"/>
      <c r="I67" s="50"/>
      <c r="J67" s="50"/>
      <c r="K67" s="50"/>
      <c r="L67" s="50"/>
      <c r="M67" s="50"/>
      <c r="N67" s="50"/>
      <c r="O67" s="50"/>
      <c r="P67" s="50"/>
      <c r="Q67" s="50"/>
      <c r="R67" s="50"/>
      <c r="S67" s="50"/>
      <c r="T67" s="50"/>
      <c r="U67" s="50"/>
      <c r="V67" s="50"/>
      <c r="W67" s="50"/>
    </row>
    <row r="68" spans="1:31" x14ac:dyDescent="0.3">
      <c r="A68" s="337"/>
      <c r="B68" s="334" t="s">
        <v>408</v>
      </c>
      <c r="C68" s="341">
        <f>SUM(C69:C73)</f>
        <v>549.11599999999999</v>
      </c>
      <c r="D68" s="50"/>
      <c r="E68" s="283"/>
      <c r="F68" s="50"/>
      <c r="G68" s="50"/>
      <c r="H68" s="50"/>
      <c r="I68" s="50"/>
      <c r="J68" s="50"/>
      <c r="K68" s="50"/>
      <c r="L68" s="50"/>
      <c r="M68" s="50"/>
      <c r="N68" s="50"/>
      <c r="P68" s="50"/>
      <c r="Q68" s="50"/>
      <c r="R68" s="50"/>
      <c r="S68" s="50"/>
      <c r="T68" s="50"/>
      <c r="U68" s="50"/>
      <c r="V68" s="50"/>
      <c r="W68" s="50"/>
    </row>
    <row r="69" spans="1:31" ht="16.350000000000001" customHeight="1" x14ac:dyDescent="0.3">
      <c r="A69" s="337"/>
      <c r="B69" s="336" t="s">
        <v>395</v>
      </c>
      <c r="C69" s="341">
        <f>'ARP Score'!AJ16</f>
        <v>362.04999999999995</v>
      </c>
      <c r="D69" s="50"/>
      <c r="E69" s="283"/>
      <c r="F69" s="50"/>
      <c r="G69" s="50"/>
      <c r="H69" s="50"/>
      <c r="I69" s="50"/>
      <c r="J69" s="50"/>
      <c r="K69" s="50"/>
      <c r="L69" s="50"/>
      <c r="M69" s="50"/>
      <c r="N69" s="50"/>
      <c r="O69" s="50"/>
      <c r="P69" s="50"/>
      <c r="Q69" s="50"/>
      <c r="R69" s="50"/>
      <c r="S69" s="50"/>
      <c r="T69" s="50"/>
      <c r="U69" s="50"/>
      <c r="V69" s="50"/>
      <c r="W69" s="50"/>
    </row>
    <row r="70" spans="1:31" ht="15" customHeight="1" x14ac:dyDescent="0.3">
      <c r="A70" s="1315"/>
      <c r="B70" s="336" t="s">
        <v>150</v>
      </c>
      <c r="C70" s="341">
        <f>'ARP Score'!AL16</f>
        <v>169.16899999999998</v>
      </c>
      <c r="D70" s="50"/>
      <c r="E70" s="283"/>
      <c r="F70" s="50"/>
      <c r="G70" s="50"/>
      <c r="H70" s="50"/>
      <c r="I70" s="50"/>
      <c r="J70" s="50"/>
      <c r="K70" s="50"/>
      <c r="L70" s="50"/>
      <c r="M70" s="50"/>
      <c r="N70" s="50"/>
      <c r="O70" s="50"/>
      <c r="P70" s="50"/>
      <c r="Q70" s="339"/>
      <c r="R70" s="50"/>
      <c r="S70" s="50"/>
      <c r="T70" s="50"/>
      <c r="U70" s="50"/>
      <c r="V70" s="50"/>
      <c r="W70" s="50"/>
    </row>
    <row r="71" spans="1:31" x14ac:dyDescent="0.3">
      <c r="A71" s="1315"/>
      <c r="B71" s="336" t="s">
        <v>152</v>
      </c>
      <c r="C71" s="341">
        <f>'ARP Score'!AK16</f>
        <v>8.5</v>
      </c>
      <c r="D71" s="50"/>
      <c r="E71" s="283"/>
      <c r="F71" s="50"/>
      <c r="G71" s="50"/>
      <c r="H71" s="50"/>
      <c r="I71" s="50"/>
      <c r="J71" s="50"/>
      <c r="K71" s="50"/>
      <c r="L71" s="50"/>
      <c r="M71" s="50"/>
      <c r="N71" s="50"/>
      <c r="O71" s="50"/>
      <c r="P71" s="50"/>
      <c r="Q71" s="50"/>
      <c r="R71" s="50"/>
      <c r="S71" s="50"/>
      <c r="T71" s="50"/>
      <c r="U71" s="50"/>
      <c r="V71" s="50"/>
      <c r="W71" s="50"/>
    </row>
    <row r="72" spans="1:31" ht="17.25" customHeight="1" x14ac:dyDescent="0.3">
      <c r="A72" s="337"/>
      <c r="B72" s="336" t="s">
        <v>411</v>
      </c>
      <c r="C72" s="341">
        <f>'ARP Score'!AM16</f>
        <v>0.79700000000000004</v>
      </c>
      <c r="D72" s="50"/>
      <c r="E72" s="283"/>
      <c r="F72" s="50"/>
      <c r="G72" s="50"/>
      <c r="H72" s="50"/>
      <c r="I72" s="50"/>
      <c r="J72" s="50"/>
      <c r="K72" s="50"/>
      <c r="L72" s="50"/>
      <c r="M72" s="50"/>
      <c r="N72" s="50"/>
      <c r="O72" s="50"/>
      <c r="P72" s="50"/>
      <c r="Q72" s="50"/>
      <c r="R72" s="50"/>
      <c r="S72" s="50"/>
      <c r="T72" s="50"/>
      <c r="U72" s="50"/>
      <c r="V72" s="50"/>
      <c r="W72" s="50"/>
    </row>
    <row r="73" spans="1:31" ht="17.25" customHeight="1" x14ac:dyDescent="0.3">
      <c r="A73" s="337"/>
      <c r="B73" s="338" t="s">
        <v>421</v>
      </c>
      <c r="C73" s="342">
        <f>'ARP Score'!AN16</f>
        <v>8.6</v>
      </c>
      <c r="D73" s="340"/>
      <c r="E73" s="324"/>
      <c r="F73" s="50"/>
      <c r="G73" s="50"/>
      <c r="H73" s="50"/>
      <c r="I73" s="50"/>
      <c r="J73" s="50"/>
      <c r="K73" s="50"/>
      <c r="L73" s="50"/>
      <c r="M73" s="50"/>
      <c r="N73" s="50"/>
      <c r="O73" s="50"/>
      <c r="P73" s="50"/>
      <c r="Q73" s="50"/>
      <c r="R73" s="50"/>
      <c r="S73" s="50"/>
      <c r="T73" s="50"/>
      <c r="U73" s="50"/>
      <c r="V73" s="50"/>
      <c r="W73" s="50"/>
    </row>
    <row r="74" spans="1:31" ht="17.25" customHeight="1" x14ac:dyDescent="0.3">
      <c r="B74" s="336"/>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
      <c r="B75" s="321"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85" customHeight="1" x14ac:dyDescent="0.3">
      <c r="B76" s="1280" t="s">
        <v>423</v>
      </c>
      <c r="C76" s="1281"/>
      <c r="D76" s="1290" t="s">
        <v>325</v>
      </c>
      <c r="E76" s="1291"/>
      <c r="F76" s="1291"/>
      <c r="G76" s="1291"/>
      <c r="H76" s="1291"/>
      <c r="I76" s="1291"/>
      <c r="J76" s="1291"/>
      <c r="K76" s="1291"/>
      <c r="L76" s="1291"/>
      <c r="M76" s="1291"/>
      <c r="N76" s="1291"/>
      <c r="O76" s="1291"/>
      <c r="P76" s="1291"/>
      <c r="Q76" s="1291"/>
      <c r="R76" s="1291"/>
      <c r="S76" s="1291"/>
      <c r="T76" s="1292"/>
      <c r="U76" s="1293" t="s">
        <v>326</v>
      </c>
      <c r="V76" s="1294"/>
      <c r="W76" s="1294"/>
      <c r="X76" s="1294"/>
      <c r="Y76" s="1294"/>
      <c r="Z76" s="1294"/>
      <c r="AA76" s="1294"/>
      <c r="AB76" s="1294"/>
      <c r="AC76" s="1295"/>
      <c r="AD76" s="180"/>
      <c r="AE76" s="180"/>
    </row>
    <row r="77" spans="1:31" x14ac:dyDescent="0.3">
      <c r="B77" s="1282"/>
      <c r="C77" s="1283"/>
      <c r="D77" s="157">
        <v>2018</v>
      </c>
      <c r="E77" s="1273">
        <v>2019</v>
      </c>
      <c r="F77" s="1278"/>
      <c r="G77" s="1278"/>
      <c r="H77" s="1279"/>
      <c r="I77" s="1273">
        <v>2020</v>
      </c>
      <c r="J77" s="1278"/>
      <c r="K77" s="1278"/>
      <c r="L77" s="1278"/>
      <c r="M77" s="1273">
        <v>2021</v>
      </c>
      <c r="N77" s="1278"/>
      <c r="O77" s="1278"/>
      <c r="P77" s="1278"/>
      <c r="Q77" s="1288">
        <v>2022</v>
      </c>
      <c r="R77" s="1289"/>
      <c r="S77" s="208"/>
      <c r="T77" s="221"/>
      <c r="U77" s="1284">
        <v>2023</v>
      </c>
      <c r="V77" s="1285"/>
      <c r="W77" s="1285"/>
      <c r="X77" s="1285"/>
      <c r="Y77" s="1287">
        <v>2024</v>
      </c>
      <c r="Z77" s="1285"/>
      <c r="AA77" s="1285"/>
      <c r="AB77" s="1286"/>
      <c r="AC77" s="233">
        <v>2025</v>
      </c>
      <c r="AD77" s="209"/>
      <c r="AE77" s="209"/>
    </row>
    <row r="78" spans="1:31" x14ac:dyDescent="0.3">
      <c r="B78" s="1296"/>
      <c r="C78" s="1297"/>
      <c r="D78" s="163" t="s">
        <v>327</v>
      </c>
      <c r="E78" s="163" t="s">
        <v>328</v>
      </c>
      <c r="F78" s="176" t="s">
        <v>329</v>
      </c>
      <c r="G78" s="176" t="s">
        <v>238</v>
      </c>
      <c r="H78" s="159" t="s">
        <v>327</v>
      </c>
      <c r="I78" s="176" t="s">
        <v>328</v>
      </c>
      <c r="J78" s="176" t="s">
        <v>329</v>
      </c>
      <c r="K78" s="176" t="s">
        <v>238</v>
      </c>
      <c r="L78" s="176" t="s">
        <v>327</v>
      </c>
      <c r="M78" s="163" t="s">
        <v>328</v>
      </c>
      <c r="N78" s="176" t="s">
        <v>329</v>
      </c>
      <c r="O78" s="176" t="s">
        <v>238</v>
      </c>
      <c r="P78" s="176" t="s">
        <v>327</v>
      </c>
      <c r="Q78" s="163" t="s">
        <v>328</v>
      </c>
      <c r="R78" s="176" t="s">
        <v>329</v>
      </c>
      <c r="S78" s="176" t="s">
        <v>238</v>
      </c>
      <c r="T78" s="159" t="s">
        <v>327</v>
      </c>
      <c r="U78" s="280" t="s">
        <v>328</v>
      </c>
      <c r="V78" s="280" t="s">
        <v>329</v>
      </c>
      <c r="W78" s="280" t="s">
        <v>238</v>
      </c>
      <c r="X78" s="280" t="s">
        <v>327</v>
      </c>
      <c r="Y78" s="348" t="s">
        <v>328</v>
      </c>
      <c r="Z78" s="228" t="s">
        <v>329</v>
      </c>
      <c r="AA78" s="280" t="s">
        <v>238</v>
      </c>
      <c r="AB78" s="278" t="s">
        <v>327</v>
      </c>
      <c r="AC78" s="373" t="s">
        <v>328</v>
      </c>
      <c r="AD78" s="209"/>
      <c r="AE78" s="209"/>
    </row>
    <row r="79" spans="1:31" ht="29.25" customHeight="1" x14ac:dyDescent="0.3">
      <c r="B79" s="360" t="s">
        <v>424</v>
      </c>
      <c r="C79" s="379"/>
      <c r="D79" s="303"/>
      <c r="E79" s="304"/>
      <c r="F79" s="304"/>
      <c r="G79" s="304"/>
      <c r="H79" s="295">
        <f t="shared" ref="H79:O79" si="21">SUM(H81:H89)</f>
        <v>205.80500000000001</v>
      </c>
      <c r="I79" s="295">
        <f t="shared" si="21"/>
        <v>210.29200000000003</v>
      </c>
      <c r="J79" s="295">
        <f t="shared" si="21"/>
        <v>325.28399999999999</v>
      </c>
      <c r="K79" s="295">
        <f t="shared" si="21"/>
        <v>297.32000000000005</v>
      </c>
      <c r="L79" s="295">
        <f t="shared" si="21"/>
        <v>289.54199999999997</v>
      </c>
      <c r="M79" s="295">
        <f t="shared" si="21"/>
        <v>315.67900000000003</v>
      </c>
      <c r="N79" s="295">
        <f t="shared" si="21"/>
        <v>361.52700000000004</v>
      </c>
      <c r="O79" s="295">
        <f t="shared" si="21"/>
        <v>374.99100000000004</v>
      </c>
      <c r="P79" s="295">
        <f>SUM(P81:P90)</f>
        <v>401.58485200000007</v>
      </c>
      <c r="Q79" s="295">
        <f>SUM(Q81:Q90)</f>
        <v>438.45827479999997</v>
      </c>
      <c r="R79" s="295">
        <f>SUM(R81:R90)</f>
        <v>505.04903199999995</v>
      </c>
      <c r="S79" s="295">
        <f>SUM(S81:S90)</f>
        <v>492.38786800000003</v>
      </c>
      <c r="T79" s="296">
        <f t="shared" ref="T79:AC79" si="22">SUM(T81:T90)</f>
        <v>418.716928</v>
      </c>
      <c r="U79" s="288">
        <f t="shared" si="22"/>
        <v>395.55067787919143</v>
      </c>
      <c r="V79" s="325">
        <f t="shared" si="22"/>
        <v>399.37536121583202</v>
      </c>
      <c r="W79" s="325">
        <f t="shared" si="22"/>
        <v>397.7223326820897</v>
      </c>
      <c r="X79" s="325">
        <f t="shared" si="22"/>
        <v>397.59845066666662</v>
      </c>
      <c r="Y79" s="325">
        <f t="shared" si="22"/>
        <v>385.69919062635915</v>
      </c>
      <c r="Z79" s="325">
        <f t="shared" si="22"/>
        <v>365.34301490446529</v>
      </c>
      <c r="AA79" s="325">
        <f t="shared" si="22"/>
        <v>369.30407374937334</v>
      </c>
      <c r="AB79" s="325">
        <f t="shared" si="22"/>
        <v>373.5511150333333</v>
      </c>
      <c r="AC79" s="326">
        <f t="shared" si="22"/>
        <v>356.21123877141349</v>
      </c>
      <c r="AD79" s="289"/>
      <c r="AE79" s="289"/>
    </row>
    <row r="80" spans="1:31" ht="19.350000000000001" customHeight="1" x14ac:dyDescent="0.3">
      <c r="B80" s="389" t="s">
        <v>425</v>
      </c>
      <c r="C80" s="302"/>
      <c r="D80" s="396"/>
      <c r="E80" s="302"/>
      <c r="F80" s="302"/>
      <c r="G80" s="302"/>
      <c r="H80" s="289"/>
      <c r="I80" s="289"/>
      <c r="J80" s="289"/>
      <c r="K80" s="289"/>
      <c r="L80" s="289"/>
      <c r="M80" s="289"/>
      <c r="N80" s="289"/>
      <c r="O80" s="289"/>
      <c r="P80" s="289"/>
      <c r="Q80" s="289"/>
      <c r="R80" s="289"/>
      <c r="S80" s="289"/>
      <c r="T80" s="292"/>
      <c r="U80" s="313"/>
      <c r="V80" s="313"/>
      <c r="W80" s="313"/>
      <c r="X80" s="313"/>
      <c r="Y80" s="313"/>
      <c r="Z80" s="313"/>
      <c r="AA80" s="313"/>
      <c r="AB80" s="313"/>
      <c r="AC80" s="355"/>
      <c r="AD80" s="289"/>
      <c r="AE80" s="289"/>
    </row>
    <row r="81" spans="2:31" x14ac:dyDescent="0.3">
      <c r="B81" s="277" t="s">
        <v>152</v>
      </c>
      <c r="C81" s="49"/>
      <c r="D81" s="265"/>
      <c r="E81" s="49"/>
      <c r="F81" s="49"/>
      <c r="G81" s="49"/>
      <c r="H81" s="290"/>
      <c r="I81" s="290"/>
      <c r="J81" s="290">
        <f t="shared" ref="J81:AC81" si="23">J14</f>
        <v>64.400000000000006</v>
      </c>
      <c r="K81" s="290">
        <f t="shared" si="23"/>
        <v>23.4</v>
      </c>
      <c r="L81" s="290">
        <f t="shared" si="23"/>
        <v>13.8</v>
      </c>
      <c r="M81" s="290">
        <f t="shared" si="23"/>
        <v>12</v>
      </c>
      <c r="N81" s="290">
        <f t="shared" si="23"/>
        <v>7.5</v>
      </c>
      <c r="O81" s="290">
        <f t="shared" si="23"/>
        <v>10.5</v>
      </c>
      <c r="P81" s="290">
        <f t="shared" si="23"/>
        <v>18</v>
      </c>
      <c r="Q81" s="290">
        <f t="shared" si="23"/>
        <v>15</v>
      </c>
      <c r="R81" s="290">
        <f t="shared" si="23"/>
        <v>11.2</v>
      </c>
      <c r="S81" s="290">
        <f t="shared" si="23"/>
        <v>7.5</v>
      </c>
      <c r="T81" s="293">
        <f t="shared" si="23"/>
        <v>6.2</v>
      </c>
      <c r="U81" s="314">
        <f t="shared" si="23"/>
        <v>0</v>
      </c>
      <c r="V81" s="314">
        <f t="shared" si="23"/>
        <v>0</v>
      </c>
      <c r="W81" s="314">
        <f t="shared" si="23"/>
        <v>0</v>
      </c>
      <c r="X81" s="314">
        <f t="shared" si="23"/>
        <v>0</v>
      </c>
      <c r="Y81" s="314">
        <f t="shared" si="23"/>
        <v>0</v>
      </c>
      <c r="Z81" s="314">
        <f t="shared" si="23"/>
        <v>0</v>
      </c>
      <c r="AA81" s="314">
        <f t="shared" si="23"/>
        <v>0</v>
      </c>
      <c r="AB81" s="314">
        <f t="shared" si="23"/>
        <v>0</v>
      </c>
      <c r="AC81" s="358">
        <f t="shared" si="23"/>
        <v>0</v>
      </c>
      <c r="AD81" s="290"/>
      <c r="AE81" s="290"/>
    </row>
    <row r="82" spans="2:31" x14ac:dyDescent="0.3">
      <c r="B82" s="277" t="s">
        <v>390</v>
      </c>
      <c r="C82" s="49"/>
      <c r="D82" s="265"/>
      <c r="E82" s="49"/>
      <c r="F82" s="49"/>
      <c r="G82" s="49"/>
      <c r="H82" s="290"/>
      <c r="I82" s="290"/>
      <c r="J82" s="290"/>
      <c r="K82" s="290"/>
      <c r="L82" s="290"/>
      <c r="M82" s="290">
        <f>M34</f>
        <v>9.6666666666666661</v>
      </c>
      <c r="N82" s="290">
        <f t="shared" ref="N82:AC82" si="24">N34</f>
        <v>9.6666666666666661</v>
      </c>
      <c r="O82" s="290">
        <f t="shared" si="24"/>
        <v>9.6666666666666661</v>
      </c>
      <c r="P82" s="290">
        <f t="shared" si="24"/>
        <v>9.6666666666666661</v>
      </c>
      <c r="Q82" s="290">
        <f>Q34</f>
        <v>9.6666666666666661</v>
      </c>
      <c r="R82" s="290">
        <f>R34</f>
        <v>9.6666666666666661</v>
      </c>
      <c r="S82" s="290">
        <f>S34</f>
        <v>9.6666666666666661</v>
      </c>
      <c r="T82" s="293">
        <f t="shared" si="24"/>
        <v>9.6666666666666661</v>
      </c>
      <c r="U82" s="314">
        <f t="shared" si="24"/>
        <v>9.6666666666666661</v>
      </c>
      <c r="V82" s="314">
        <f t="shared" si="24"/>
        <v>9.6666666666666661</v>
      </c>
      <c r="W82" s="314">
        <f t="shared" si="24"/>
        <v>9.6666666666666661</v>
      </c>
      <c r="X82" s="314">
        <f t="shared" si="24"/>
        <v>9.6666666666666661</v>
      </c>
      <c r="Y82" s="314">
        <f t="shared" si="24"/>
        <v>0</v>
      </c>
      <c r="Z82" s="314">
        <f t="shared" si="24"/>
        <v>0</v>
      </c>
      <c r="AA82" s="314">
        <f t="shared" si="24"/>
        <v>0</v>
      </c>
      <c r="AB82" s="314">
        <f t="shared" si="24"/>
        <v>0</v>
      </c>
      <c r="AC82" s="358">
        <f t="shared" si="24"/>
        <v>0</v>
      </c>
      <c r="AD82" s="290"/>
      <c r="AE82" s="290"/>
    </row>
    <row r="83" spans="2:31" x14ac:dyDescent="0.3">
      <c r="B83" s="277" t="s">
        <v>426</v>
      </c>
      <c r="C83" s="49"/>
      <c r="D83" s="265"/>
      <c r="E83" s="49"/>
      <c r="F83" s="49"/>
      <c r="G83" s="49"/>
      <c r="H83" s="290"/>
      <c r="I83" s="290"/>
      <c r="J83" s="290"/>
      <c r="K83" s="290"/>
      <c r="L83" s="290"/>
      <c r="M83" s="290">
        <f t="shared" ref="M83:AC83" si="25">M16</f>
        <v>12</v>
      </c>
      <c r="N83" s="290">
        <f t="shared" si="25"/>
        <v>12</v>
      </c>
      <c r="O83" s="290">
        <f t="shared" si="25"/>
        <v>12</v>
      </c>
      <c r="P83" s="290">
        <f t="shared" si="25"/>
        <v>12</v>
      </c>
      <c r="Q83" s="290">
        <f t="shared" si="25"/>
        <v>12</v>
      </c>
      <c r="R83" s="290">
        <f t="shared" si="25"/>
        <v>12</v>
      </c>
      <c r="S83" s="290">
        <f t="shared" si="25"/>
        <v>12</v>
      </c>
      <c r="T83" s="293">
        <f t="shared" si="25"/>
        <v>12</v>
      </c>
      <c r="U83" s="314">
        <f t="shared" si="25"/>
        <v>12</v>
      </c>
      <c r="V83" s="314">
        <f t="shared" si="25"/>
        <v>12</v>
      </c>
      <c r="W83" s="314">
        <f t="shared" si="25"/>
        <v>12</v>
      </c>
      <c r="X83" s="314">
        <f t="shared" si="25"/>
        <v>12</v>
      </c>
      <c r="Y83" s="314">
        <f t="shared" si="25"/>
        <v>0</v>
      </c>
      <c r="Z83" s="314">
        <f t="shared" si="25"/>
        <v>0</v>
      </c>
      <c r="AA83" s="314">
        <f t="shared" si="25"/>
        <v>0</v>
      </c>
      <c r="AB83" s="314">
        <f t="shared" si="25"/>
        <v>0</v>
      </c>
      <c r="AC83" s="358">
        <f t="shared" si="25"/>
        <v>0</v>
      </c>
      <c r="AD83" s="290"/>
      <c r="AE83" s="290"/>
    </row>
    <row r="84" spans="2:31" x14ac:dyDescent="0.3">
      <c r="B84" s="277" t="s">
        <v>427</v>
      </c>
      <c r="C84" s="49"/>
      <c r="D84" s="265"/>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94">
        <f t="shared" si="26"/>
        <v>196.24333333333334</v>
      </c>
      <c r="U84" s="315">
        <f t="shared" si="26"/>
        <v>198.17699867919148</v>
      </c>
      <c r="V84" s="315">
        <f t="shared" si="26"/>
        <v>200.12971721583202</v>
      </c>
      <c r="W84" s="315">
        <f t="shared" si="26"/>
        <v>202.10167668208979</v>
      </c>
      <c r="X84" s="315">
        <f t="shared" si="26"/>
        <v>204.09306666666666</v>
      </c>
      <c r="Y84" s="315">
        <f t="shared" si="26"/>
        <v>206.10407862635913</v>
      </c>
      <c r="Z84" s="315">
        <f t="shared" si="26"/>
        <v>208.13490590446528</v>
      </c>
      <c r="AA84" s="315">
        <f t="shared" si="26"/>
        <v>210.18574374937336</v>
      </c>
      <c r="AB84" s="315">
        <f t="shared" si="26"/>
        <v>212.25678933333333</v>
      </c>
      <c r="AC84" s="356">
        <f t="shared" si="26"/>
        <v>214.34824177141348</v>
      </c>
      <c r="AD84" s="52"/>
      <c r="AE84" s="52"/>
    </row>
    <row r="85" spans="2:31" x14ac:dyDescent="0.3">
      <c r="B85" s="277" t="s">
        <v>1261</v>
      </c>
      <c r="C85" s="49"/>
      <c r="D85" s="265"/>
      <c r="E85" s="49"/>
      <c r="F85" s="49"/>
      <c r="G85" s="49"/>
      <c r="H85" s="52"/>
      <c r="I85" s="52"/>
      <c r="J85" s="52"/>
      <c r="K85" s="52"/>
      <c r="L85" s="52"/>
      <c r="M85" s="52"/>
      <c r="N85" s="52"/>
      <c r="O85" s="52"/>
      <c r="P85" s="52"/>
      <c r="Q85" s="52"/>
      <c r="R85" s="52"/>
      <c r="S85" s="266">
        <f>'IRA and CHIPS'!E184</f>
        <v>0</v>
      </c>
      <c r="T85" s="267">
        <f>'IRA and CHIPS'!F184</f>
        <v>6.8000000000000005E-2</v>
      </c>
      <c r="U85" s="268">
        <f>'IRA and CHIPS'!G184</f>
        <v>6.8000000000000005E-2</v>
      </c>
      <c r="V85" s="268">
        <f>'IRA and CHIPS'!H184</f>
        <v>6.8000000000000005E-2</v>
      </c>
      <c r="W85" s="268">
        <f>'IRA and CHIPS'!I184</f>
        <v>6.8000000000000005E-2</v>
      </c>
      <c r="X85" s="268">
        <f>'IRA and CHIPS'!J184</f>
        <v>1.363</v>
      </c>
      <c r="Y85" s="268">
        <f>'IRA and CHIPS'!K184</f>
        <v>1.363</v>
      </c>
      <c r="Z85" s="268">
        <f>'IRA and CHIPS'!L184</f>
        <v>1.363</v>
      </c>
      <c r="AA85" s="268">
        <f>'IRA and CHIPS'!M184</f>
        <v>1.363</v>
      </c>
      <c r="AB85" s="268">
        <f>'IRA and CHIPS'!N184</f>
        <v>2.4329999999999998</v>
      </c>
      <c r="AC85" s="268">
        <f>'IRA and CHIPS'!O184</f>
        <v>2.4329999999999998</v>
      </c>
      <c r="AD85" s="52"/>
      <c r="AE85" s="52"/>
    </row>
    <row r="86" spans="2:31" ht="14.85" customHeight="1" x14ac:dyDescent="0.3">
      <c r="B86" s="357" t="s">
        <v>428</v>
      </c>
      <c r="C86" s="49"/>
      <c r="D86" s="265"/>
      <c r="E86" s="49"/>
      <c r="F86" s="49"/>
      <c r="G86" s="49"/>
      <c r="H86" s="290"/>
      <c r="I86" s="290"/>
      <c r="J86" s="290"/>
      <c r="K86" s="290"/>
      <c r="L86" s="290"/>
      <c r="M86" s="290"/>
      <c r="N86" s="290"/>
      <c r="O86" s="290"/>
      <c r="P86" s="290"/>
      <c r="Q86" s="290"/>
      <c r="R86" s="290"/>
      <c r="S86" s="290"/>
      <c r="T86" s="293"/>
      <c r="U86" s="314"/>
      <c r="V86" s="314"/>
      <c r="W86" s="314"/>
      <c r="X86" s="314"/>
      <c r="Y86" s="314"/>
      <c r="Z86" s="314"/>
      <c r="AA86" s="314"/>
      <c r="AB86" s="314"/>
      <c r="AC86" s="358"/>
      <c r="AD86" s="290"/>
      <c r="AE86" s="290"/>
    </row>
    <row r="87" spans="2:31" ht="14.85" customHeight="1" x14ac:dyDescent="0.3">
      <c r="B87" s="277" t="s">
        <v>150</v>
      </c>
      <c r="C87" s="49"/>
      <c r="D87" s="265"/>
      <c r="E87" s="49"/>
      <c r="F87" s="49"/>
      <c r="G87" s="49"/>
      <c r="H87" s="290"/>
      <c r="I87" s="290"/>
      <c r="J87" s="290">
        <f t="shared" ref="J87:T87" si="27">J13</f>
        <v>28.4</v>
      </c>
      <c r="K87" s="290">
        <f t="shared" si="27"/>
        <v>15.8</v>
      </c>
      <c r="L87" s="290">
        <f t="shared" si="27"/>
        <v>15.2</v>
      </c>
      <c r="M87" s="290">
        <f t="shared" si="27"/>
        <v>28.9</v>
      </c>
      <c r="N87" s="290">
        <f t="shared" si="27"/>
        <v>67.599999999999994</v>
      </c>
      <c r="O87" s="290">
        <f t="shared" si="27"/>
        <v>80.7</v>
      </c>
      <c r="P87" s="290">
        <f t="shared" si="27"/>
        <v>87.2</v>
      </c>
      <c r="Q87" s="290">
        <f t="shared" si="27"/>
        <v>72.400000000000006</v>
      </c>
      <c r="R87" s="290">
        <f t="shared" si="27"/>
        <v>85.9</v>
      </c>
      <c r="S87" s="291">
        <f t="shared" si="27"/>
        <v>68.3</v>
      </c>
      <c r="T87" s="305">
        <f t="shared" si="27"/>
        <v>64</v>
      </c>
      <c r="U87" s="314">
        <f>U31+U35+'ARP Quarterly'!K28</f>
        <v>55.516469333333305</v>
      </c>
      <c r="V87" s="314">
        <f>V31+V35+'ARP Quarterly'!L28</f>
        <v>58.594257333333303</v>
      </c>
      <c r="W87" s="314">
        <f>W31+W35+'ARP Quarterly'!M28</f>
        <v>61.672045333333294</v>
      </c>
      <c r="X87" s="314">
        <f>X31+X35+'ARP Quarterly'!N28</f>
        <v>63.261773333333295</v>
      </c>
      <c r="Y87" s="314">
        <f>Y31+Y35+'ARP Quarterly'!O28</f>
        <v>61.518167999999996</v>
      </c>
      <c r="Z87" s="314">
        <f>Z31+Z35+'ARP Quarterly'!P28</f>
        <v>44.428388999999996</v>
      </c>
      <c r="AA87" s="314">
        <f>AA31+AA35+'ARP Quarterly'!Q28</f>
        <v>46.338610000000003</v>
      </c>
      <c r="AB87" s="314">
        <f>AB31+AB35+'ARP Quarterly'!R28</f>
        <v>47.279744500000007</v>
      </c>
      <c r="AC87" s="358">
        <f>AC31+AC35+'ARP Quarterly'!S28</f>
        <v>46.283419000000009</v>
      </c>
      <c r="AD87" s="290"/>
      <c r="AE87" s="290"/>
    </row>
    <row r="88" spans="2:31" x14ac:dyDescent="0.3">
      <c r="B88" s="277" t="s">
        <v>149</v>
      </c>
      <c r="C88" s="52"/>
      <c r="D88" s="397"/>
      <c r="E88" s="52"/>
      <c r="F88" s="52"/>
      <c r="G88" s="52"/>
      <c r="H88" s="290"/>
      <c r="I88" s="290"/>
      <c r="J88" s="290">
        <v>35</v>
      </c>
      <c r="K88" s="290">
        <v>45</v>
      </c>
      <c r="L88" s="290">
        <v>45</v>
      </c>
      <c r="M88" s="290">
        <v>40</v>
      </c>
      <c r="N88" s="290">
        <v>40</v>
      </c>
      <c r="O88" s="290">
        <v>40</v>
      </c>
      <c r="P88" s="290">
        <v>40</v>
      </c>
      <c r="Q88" s="290">
        <v>50</v>
      </c>
      <c r="R88" s="290">
        <v>50</v>
      </c>
      <c r="S88" s="290">
        <v>50</v>
      </c>
      <c r="T88" s="293">
        <v>50</v>
      </c>
      <c r="U88" s="314">
        <v>40</v>
      </c>
      <c r="V88" s="314">
        <v>30</v>
      </c>
      <c r="W88" s="314">
        <v>20</v>
      </c>
      <c r="X88" s="314">
        <v>15</v>
      </c>
      <c r="Y88" s="314">
        <v>10</v>
      </c>
      <c r="Z88" s="314"/>
      <c r="AA88" s="314"/>
      <c r="AB88" s="314"/>
      <c r="AC88" s="358"/>
      <c r="AD88" s="92">
        <f>SUM(O88:AC88)</f>
        <v>395</v>
      </c>
    </row>
    <row r="89" spans="2:31" ht="28.5" customHeight="1" x14ac:dyDescent="0.3">
      <c r="B89" s="317" t="s">
        <v>429</v>
      </c>
      <c r="C89" s="335"/>
      <c r="D89" s="265"/>
      <c r="E89" s="49"/>
      <c r="F89" s="49"/>
      <c r="G89" s="49"/>
      <c r="H89" s="290"/>
      <c r="I89" s="290"/>
      <c r="J89" s="290"/>
      <c r="K89" s="290"/>
      <c r="L89" s="290"/>
      <c r="M89" s="290"/>
      <c r="N89" s="290">
        <f>'ARP Quarterly'!D47</f>
        <v>0</v>
      </c>
      <c r="O89" s="290">
        <f>'ARP Quarterly'!E47</f>
        <v>0</v>
      </c>
      <c r="P89" s="290">
        <f>'ARP Quarterly'!F47</f>
        <v>34.620851999999999</v>
      </c>
      <c r="Q89" s="290">
        <f>'ARP Quarterly'!G47</f>
        <v>50.996274799999995</v>
      </c>
      <c r="R89" s="290">
        <f>'ARP Quarterly'!H47</f>
        <v>69.350031999999999</v>
      </c>
      <c r="S89" s="290">
        <f>'ARP Quarterly'!I47</f>
        <v>79.295867999999999</v>
      </c>
      <c r="T89" s="293">
        <f>'ARP Quarterly'!J47</f>
        <v>80.538927999999999</v>
      </c>
      <c r="U89" s="371">
        <f>'ARP Quarterly'!K47</f>
        <v>80.122543199999996</v>
      </c>
      <c r="V89" s="371">
        <f>'ARP Quarterly'!L47</f>
        <v>88.916719999999998</v>
      </c>
      <c r="W89" s="371">
        <f>'ARP Quarterly'!M47</f>
        <v>92.213943999999998</v>
      </c>
      <c r="X89" s="371">
        <f>'ARP Quarterly'!N47</f>
        <v>92.213943999999998</v>
      </c>
      <c r="Y89" s="371">
        <f>'ARP Quarterly'!O47</f>
        <v>94.213943999999998</v>
      </c>
      <c r="Z89" s="371">
        <f>'ARP Quarterly'!P47</f>
        <v>98.916719999999998</v>
      </c>
      <c r="AA89" s="371">
        <f>'ARP Quarterly'!Q47</f>
        <v>98.916719999999998</v>
      </c>
      <c r="AB89" s="371">
        <f>'ARP Quarterly'!R47</f>
        <v>99.081581199999988</v>
      </c>
      <c r="AC89" s="372">
        <f>'ARP Quarterly'!S47</f>
        <v>93.146578000000005</v>
      </c>
      <c r="AD89" s="352"/>
    </row>
    <row r="90" spans="2:31" ht="55.35" customHeight="1" x14ac:dyDescent="0.3">
      <c r="B90" s="327" t="s">
        <v>885</v>
      </c>
      <c r="C90" s="328"/>
      <c r="D90" s="263"/>
      <c r="E90" s="264"/>
      <c r="F90" s="264"/>
      <c r="G90" s="264"/>
      <c r="H90" s="264"/>
      <c r="I90" s="264"/>
      <c r="J90" s="264"/>
      <c r="K90" s="264"/>
      <c r="L90" s="264"/>
      <c r="M90" s="264"/>
      <c r="N90" s="264"/>
      <c r="O90" s="264"/>
      <c r="P90" s="264">
        <v>-50</v>
      </c>
      <c r="Q90" s="264">
        <v>-25</v>
      </c>
      <c r="R90" s="264"/>
      <c r="S90" s="264"/>
      <c r="T90" s="398"/>
      <c r="U90" s="328"/>
      <c r="V90" s="328"/>
      <c r="W90" s="328"/>
      <c r="X90" s="328"/>
      <c r="Y90" s="328">
        <v>12.5</v>
      </c>
      <c r="Z90" s="328">
        <v>12.5</v>
      </c>
      <c r="AA90" s="328">
        <v>12.5</v>
      </c>
      <c r="AB90" s="328">
        <v>12.5</v>
      </c>
      <c r="AC90" s="329"/>
    </row>
    <row r="91" spans="2:31" ht="12.75" customHeight="1" x14ac:dyDescent="0.3"/>
    <row r="93" spans="2:31" x14ac:dyDescent="0.3">
      <c r="B93" s="1276" t="s">
        <v>134</v>
      </c>
      <c r="C93" s="1276"/>
      <c r="D93" s="1276"/>
      <c r="E93" s="1276"/>
      <c r="F93" s="1276"/>
      <c r="G93" s="1276"/>
      <c r="H93" s="1276"/>
      <c r="I93" s="1276"/>
      <c r="J93" s="1276"/>
      <c r="K93" s="1276"/>
      <c r="L93" s="1276"/>
      <c r="M93" s="1276"/>
      <c r="N93" s="1276"/>
      <c r="O93" s="1276"/>
      <c r="P93" s="1276"/>
      <c r="Q93" s="1276"/>
      <c r="R93" s="1276"/>
      <c r="S93" s="1276"/>
      <c r="T93" s="1276"/>
      <c r="U93" s="1276"/>
      <c r="V93" s="1276"/>
      <c r="W93" s="1276"/>
      <c r="X93" s="1276"/>
      <c r="Y93" s="1276"/>
      <c r="Z93" s="191"/>
      <c r="AA93" s="191"/>
      <c r="AB93" s="191"/>
      <c r="AC93" s="191"/>
      <c r="AD93" s="180"/>
      <c r="AE93" s="180"/>
    </row>
    <row r="94" spans="2:31" ht="19.350000000000001" customHeight="1" x14ac:dyDescent="0.3">
      <c r="B94" s="1277" t="s">
        <v>430</v>
      </c>
      <c r="C94" s="1277"/>
      <c r="D94" s="1277"/>
      <c r="E94" s="1277"/>
      <c r="F94" s="1277"/>
      <c r="G94" s="1277"/>
      <c r="H94" s="1277"/>
      <c r="I94" s="1277"/>
      <c r="J94" s="1277"/>
      <c r="K94" s="1277"/>
      <c r="L94" s="1277"/>
      <c r="M94" s="1277"/>
      <c r="N94" s="1277"/>
      <c r="O94" s="1277"/>
      <c r="P94" s="1277"/>
      <c r="Q94" s="1277"/>
      <c r="R94" s="1277"/>
      <c r="S94" s="1277"/>
      <c r="T94" s="1277"/>
      <c r="U94" s="1277"/>
      <c r="V94" s="1277"/>
      <c r="W94" s="1277"/>
      <c r="X94" s="1277"/>
      <c r="Y94" s="1277"/>
      <c r="Z94" s="1277"/>
      <c r="AA94" s="1277"/>
      <c r="AB94" s="1277"/>
      <c r="AC94" s="1277"/>
      <c r="AD94" s="192"/>
      <c r="AE94" s="192"/>
    </row>
    <row r="95" spans="2:31" ht="11.85" customHeight="1" x14ac:dyDescent="0.3">
      <c r="B95" s="210"/>
      <c r="C95" s="210"/>
      <c r="D95" s="210"/>
      <c r="E95" s="210"/>
      <c r="F95" s="210"/>
      <c r="G95" s="210"/>
      <c r="H95" s="210"/>
      <c r="I95" s="210"/>
      <c r="J95" s="210"/>
      <c r="K95" s="210"/>
      <c r="L95" s="210"/>
      <c r="M95" s="210"/>
      <c r="V95" s="209"/>
      <c r="W95" s="209"/>
      <c r="X95" s="209"/>
      <c r="Y95" s="209"/>
      <c r="Z95" s="209"/>
      <c r="AA95" s="209"/>
      <c r="AB95" s="209"/>
      <c r="AC95" s="209"/>
      <c r="AD95" s="209"/>
      <c r="AE95" s="209"/>
    </row>
    <row r="96" spans="2:31" ht="14.85" customHeight="1" x14ac:dyDescent="0.3">
      <c r="B96" s="1280" t="s">
        <v>324</v>
      </c>
      <c r="C96" s="1281"/>
      <c r="D96" s="1290" t="s">
        <v>325</v>
      </c>
      <c r="E96" s="1291"/>
      <c r="F96" s="1291"/>
      <c r="G96" s="1291"/>
      <c r="H96" s="1291"/>
      <c r="I96" s="1291"/>
      <c r="J96" s="1291"/>
      <c r="K96" s="1291"/>
      <c r="L96" s="1291"/>
      <c r="M96" s="1291"/>
      <c r="N96" s="1291"/>
      <c r="O96" s="1291"/>
      <c r="P96" s="1291"/>
      <c r="Q96" s="1316"/>
      <c r="R96" s="1316"/>
      <c r="S96" s="1316"/>
      <c r="T96" s="1281"/>
      <c r="U96" s="1294" t="s">
        <v>326</v>
      </c>
      <c r="V96" s="1294"/>
      <c r="W96" s="1294"/>
      <c r="X96" s="1294"/>
      <c r="Y96" s="1294"/>
      <c r="Z96" s="1294"/>
      <c r="AA96" s="1294"/>
      <c r="AB96" s="1294"/>
      <c r="AC96" s="1295"/>
      <c r="AD96" s="180"/>
      <c r="AE96" s="180"/>
    </row>
    <row r="97" spans="2:31" x14ac:dyDescent="0.3">
      <c r="B97" s="1282"/>
      <c r="C97" s="1283"/>
      <c r="D97" s="193">
        <v>2018</v>
      </c>
      <c r="E97" s="1273">
        <v>2019</v>
      </c>
      <c r="F97" s="1278"/>
      <c r="G97" s="1278"/>
      <c r="H97" s="1279"/>
      <c r="I97" s="1273">
        <v>2020</v>
      </c>
      <c r="J97" s="1278"/>
      <c r="K97" s="1278"/>
      <c r="L97" s="1278"/>
      <c r="M97" s="1273">
        <v>2021</v>
      </c>
      <c r="N97" s="1278"/>
      <c r="O97" s="1278"/>
      <c r="P97" s="1278"/>
      <c r="Q97" s="1273">
        <v>2022</v>
      </c>
      <c r="R97" s="1274"/>
      <c r="S97" s="1274"/>
      <c r="T97" s="1279"/>
      <c r="U97" s="1284">
        <v>2023</v>
      </c>
      <c r="V97" s="1285"/>
      <c r="W97" s="1285"/>
      <c r="X97" s="1285"/>
      <c r="Y97" s="1287">
        <v>2024</v>
      </c>
      <c r="Z97" s="1285"/>
      <c r="AA97" s="1285"/>
      <c r="AB97" s="1286"/>
      <c r="AC97" s="233">
        <v>2025</v>
      </c>
      <c r="AD97" s="209"/>
      <c r="AE97" s="209"/>
    </row>
    <row r="98" spans="2:31" x14ac:dyDescent="0.3">
      <c r="B98" s="1282"/>
      <c r="C98" s="1283"/>
      <c r="D98" s="176" t="s">
        <v>327</v>
      </c>
      <c r="E98" s="163" t="s">
        <v>328</v>
      </c>
      <c r="F98" s="176" t="s">
        <v>329</v>
      </c>
      <c r="G98" s="176" t="s">
        <v>238</v>
      </c>
      <c r="H98" s="159" t="s">
        <v>327</v>
      </c>
      <c r="I98" s="176" t="s">
        <v>328</v>
      </c>
      <c r="J98" s="176" t="s">
        <v>329</v>
      </c>
      <c r="K98" s="176" t="s">
        <v>238</v>
      </c>
      <c r="L98" s="176" t="s">
        <v>327</v>
      </c>
      <c r="M98" s="163" t="s">
        <v>328</v>
      </c>
      <c r="N98" s="176" t="s">
        <v>329</v>
      </c>
      <c r="O98" s="176" t="s">
        <v>238</v>
      </c>
      <c r="P98" s="176" t="s">
        <v>327</v>
      </c>
      <c r="Q98" s="163" t="s">
        <v>328</v>
      </c>
      <c r="R98" s="176" t="s">
        <v>329</v>
      </c>
      <c r="S98" s="176" t="s">
        <v>238</v>
      </c>
      <c r="T98" s="159" t="s">
        <v>327</v>
      </c>
      <c r="U98" s="247" t="s">
        <v>328</v>
      </c>
      <c r="V98" s="247" t="s">
        <v>329</v>
      </c>
      <c r="W98" s="247" t="s">
        <v>238</v>
      </c>
      <c r="X98" s="247" t="s">
        <v>327</v>
      </c>
      <c r="Y98" s="246" t="s">
        <v>328</v>
      </c>
      <c r="Z98" s="242" t="s">
        <v>329</v>
      </c>
      <c r="AA98" s="247" t="s">
        <v>238</v>
      </c>
      <c r="AB98" s="248" t="s">
        <v>327</v>
      </c>
      <c r="AC98" s="249" t="s">
        <v>328</v>
      </c>
      <c r="AD98" s="209"/>
      <c r="AE98" s="209"/>
    </row>
    <row r="99" spans="2:31" ht="14.85" customHeight="1" x14ac:dyDescent="0.3">
      <c r="B99" s="395" t="s">
        <v>431</v>
      </c>
      <c r="C99" s="297" t="s">
        <v>432</v>
      </c>
      <c r="D99" s="298"/>
      <c r="E99" s="299"/>
      <c r="F99" s="299"/>
      <c r="G99" s="299"/>
      <c r="H99" s="300">
        <f>'Haver Pivoted'!GS41</f>
        <v>72.367000000000004</v>
      </c>
      <c r="I99" s="300">
        <f>'Haver Pivoted'!GT41</f>
        <v>75.578999999999994</v>
      </c>
      <c r="J99" s="300">
        <f>'Haver Pivoted'!GU41</f>
        <v>76.015000000000001</v>
      </c>
      <c r="K99" s="300">
        <f>'Haver Pivoted'!GV41</f>
        <v>78.872</v>
      </c>
      <c r="L99" s="300">
        <f>'Haver Pivoted'!GW41</f>
        <v>75.819000000000003</v>
      </c>
      <c r="M99" s="300">
        <f>'Haver Pivoted'!GX41</f>
        <v>73.662000000000006</v>
      </c>
      <c r="N99" s="300">
        <f>'Haver Pivoted'!GY41</f>
        <v>75.066000000000003</v>
      </c>
      <c r="O99" s="300">
        <f>'Haver Pivoted'!GZ41</f>
        <v>69.344999999999999</v>
      </c>
      <c r="P99" s="300">
        <f>'Haver Pivoted'!HA41</f>
        <v>72.477000000000004</v>
      </c>
      <c r="Q99" s="300">
        <f>'Haver Pivoted'!HB41</f>
        <v>72.528999999999996</v>
      </c>
      <c r="R99" s="300">
        <f t="shared" ref="R99:S99" si="28">AVERAGE($H$99:$N$99)</f>
        <v>75.340000000000018</v>
      </c>
      <c r="S99" s="300">
        <f t="shared" si="28"/>
        <v>75.340000000000018</v>
      </c>
      <c r="T99" s="301">
        <f t="shared" ref="T99:AC99" si="29">AVERAGE($H$99:$N$99)+T100</f>
        <v>76.15900000000002</v>
      </c>
      <c r="U99" s="272">
        <f t="shared" si="29"/>
        <v>76.15900000000002</v>
      </c>
      <c r="V99" s="273">
        <f t="shared" si="29"/>
        <v>76.15900000000002</v>
      </c>
      <c r="W99" s="273">
        <f t="shared" si="29"/>
        <v>76.15900000000002</v>
      </c>
      <c r="X99" s="273">
        <f t="shared" si="29"/>
        <v>77.818000000000012</v>
      </c>
      <c r="Y99" s="273">
        <f t="shared" si="29"/>
        <v>77.818000000000012</v>
      </c>
      <c r="Z99" s="273">
        <f t="shared" si="29"/>
        <v>77.818000000000012</v>
      </c>
      <c r="AA99" s="273">
        <f t="shared" si="29"/>
        <v>77.818000000000012</v>
      </c>
      <c r="AB99" s="273">
        <f t="shared" si="29"/>
        <v>79.41200000000002</v>
      </c>
      <c r="AC99" s="274">
        <f t="shared" si="29"/>
        <v>79.41200000000002</v>
      </c>
      <c r="AD99" s="223"/>
      <c r="AE99" s="223"/>
    </row>
    <row r="100" spans="2:31" x14ac:dyDescent="0.3">
      <c r="B100" s="169" t="s">
        <v>1260</v>
      </c>
      <c r="C100" s="36"/>
      <c r="D100" s="169"/>
      <c r="E100" s="36"/>
      <c r="F100" s="36"/>
      <c r="G100" s="36"/>
      <c r="H100" s="36"/>
      <c r="I100" s="36"/>
      <c r="J100" s="36"/>
      <c r="K100" s="36"/>
      <c r="L100" s="36"/>
      <c r="M100" s="36"/>
      <c r="N100" s="36"/>
      <c r="O100" s="36"/>
      <c r="P100" s="36"/>
      <c r="Q100" s="36"/>
      <c r="R100" s="36"/>
      <c r="S100" s="269">
        <f>'IRA and CHIPS'!E185</f>
        <v>0</v>
      </c>
      <c r="T100" s="270">
        <f>'IRA and CHIPS'!F185</f>
        <v>0.81899999999999995</v>
      </c>
      <c r="U100" s="275">
        <f>'IRA and CHIPS'!G185</f>
        <v>0.81899999999999995</v>
      </c>
      <c r="V100" s="271">
        <f>'IRA and CHIPS'!H185</f>
        <v>0.81899999999999995</v>
      </c>
      <c r="W100" s="271">
        <f>'IRA and CHIPS'!I185</f>
        <v>0.81899999999999995</v>
      </c>
      <c r="X100" s="271">
        <f>'IRA and CHIPS'!J185</f>
        <v>2.4780000000000002</v>
      </c>
      <c r="Y100" s="271">
        <f>'IRA and CHIPS'!K185</f>
        <v>2.4780000000000002</v>
      </c>
      <c r="Z100" s="271">
        <f>'IRA and CHIPS'!L185</f>
        <v>2.4780000000000002</v>
      </c>
      <c r="AA100" s="271">
        <f>'IRA and CHIPS'!M185</f>
        <v>2.4780000000000002</v>
      </c>
      <c r="AB100" s="271">
        <f>'IRA and CHIPS'!N185</f>
        <v>4.0720000000000001</v>
      </c>
      <c r="AC100" s="276">
        <f>'IRA and CHIPS'!O185</f>
        <v>4.0720000000000001</v>
      </c>
    </row>
    <row r="101" spans="2:31" ht="18.75" customHeight="1" x14ac:dyDescent="0.3"/>
    <row r="102" spans="2:31" ht="21.75" customHeight="1" x14ac:dyDescent="0.3"/>
  </sheetData>
  <mergeCells count="42">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 ref="U96:AC96"/>
    <mergeCell ref="Q97:T97"/>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3"/>
  <sheetViews>
    <sheetView topLeftCell="G14" zoomScale="85" zoomScaleNormal="85" workbookViewId="0">
      <selection activeCell="AC26" sqref="AC26"/>
    </sheetView>
  </sheetViews>
  <sheetFormatPr defaultColWidth="10.7773437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276" t="s">
        <v>433</v>
      </c>
      <c r="C1" s="1276"/>
      <c r="D1" s="1276"/>
      <c r="E1" s="1276"/>
      <c r="F1" s="1276"/>
      <c r="G1" s="1276"/>
      <c r="H1" s="1276"/>
      <c r="I1" s="1276"/>
      <c r="J1" s="1276"/>
      <c r="K1" s="1276"/>
      <c r="L1" s="1276"/>
      <c r="M1" s="1276"/>
      <c r="N1" s="1276"/>
      <c r="O1" s="1276"/>
      <c r="P1" s="1276"/>
      <c r="Q1" s="1276"/>
      <c r="R1" s="1276"/>
      <c r="S1" s="1276"/>
      <c r="T1" s="1276"/>
      <c r="U1" s="1276"/>
      <c r="V1" s="1276"/>
      <c r="W1" s="1276"/>
      <c r="X1" s="1276"/>
      <c r="Y1" s="1276"/>
      <c r="Z1" s="1276"/>
      <c r="AA1" s="1276"/>
      <c r="AB1" s="1276"/>
      <c r="AC1" s="1276"/>
    </row>
    <row r="2" spans="2:39" ht="14.25" customHeight="1" x14ac:dyDescent="0.3">
      <c r="B2" s="1314" t="s">
        <v>434</v>
      </c>
      <c r="C2" s="1314"/>
      <c r="D2" s="1314"/>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row>
    <row r="3" spans="2:39" ht="9" customHeight="1" x14ac:dyDescent="0.3">
      <c r="B3" s="1314"/>
      <c r="C3" s="1314"/>
      <c r="D3" s="1314"/>
      <c r="E3" s="1314"/>
      <c r="F3" s="1314"/>
      <c r="G3" s="1314"/>
      <c r="H3" s="1314"/>
      <c r="I3" s="1314"/>
      <c r="J3" s="1314"/>
      <c r="K3" s="1314"/>
      <c r="L3" s="1314"/>
      <c r="M3" s="1314"/>
      <c r="N3" s="1314"/>
      <c r="O3" s="1314"/>
      <c r="P3" s="1314"/>
      <c r="Q3" s="1314"/>
      <c r="R3" s="1314"/>
      <c r="S3" s="1314"/>
      <c r="T3" s="1314"/>
      <c r="U3" s="1314"/>
      <c r="V3" s="1314"/>
      <c r="W3" s="1314"/>
      <c r="X3" s="1314"/>
      <c r="Y3" s="1314"/>
      <c r="Z3" s="1314"/>
      <c r="AA3" s="1314"/>
      <c r="AB3" s="1314"/>
      <c r="AC3" s="1314"/>
    </row>
    <row r="4" spans="2:39" ht="27" customHeight="1" x14ac:dyDescent="0.3">
      <c r="B4" s="1314"/>
      <c r="C4" s="1314"/>
      <c r="D4" s="1314"/>
      <c r="E4" s="1314"/>
      <c r="F4" s="1314"/>
      <c r="G4" s="1314"/>
      <c r="H4" s="1314"/>
      <c r="I4" s="1314"/>
      <c r="J4" s="1314"/>
      <c r="K4" s="1314"/>
      <c r="L4" s="1314"/>
      <c r="M4" s="1314"/>
      <c r="N4" s="1314"/>
      <c r="O4" s="1314"/>
      <c r="P4" s="1314"/>
      <c r="Q4" s="1314"/>
      <c r="R4" s="1314"/>
      <c r="S4" s="1314"/>
      <c r="T4" s="1314"/>
      <c r="U4" s="1314"/>
      <c r="V4" s="1314"/>
      <c r="W4" s="1314"/>
      <c r="X4" s="1314"/>
      <c r="Y4" s="1314"/>
      <c r="Z4" s="1314"/>
      <c r="AA4" s="1314"/>
      <c r="AB4" s="1314"/>
      <c r="AC4" s="1314"/>
      <c r="AE4" s="467"/>
      <c r="AF4" s="467"/>
      <c r="AG4" s="467"/>
      <c r="AH4" s="467"/>
      <c r="AI4" s="467"/>
      <c r="AJ4" s="467"/>
      <c r="AK4" s="467"/>
      <c r="AL4" s="467"/>
      <c r="AM4" s="467"/>
    </row>
    <row r="5" spans="2:39" x14ac:dyDescent="0.3">
      <c r="B5" s="449"/>
      <c r="AC5" s="245"/>
      <c r="AD5" s="245"/>
      <c r="AE5" s="245"/>
      <c r="AF5" s="245"/>
    </row>
    <row r="6" spans="2:39" ht="14.85" customHeight="1" x14ac:dyDescent="0.3">
      <c r="B6" s="1317" t="s">
        <v>324</v>
      </c>
      <c r="C6" s="1318"/>
      <c r="D6" s="1328" t="s">
        <v>325</v>
      </c>
      <c r="E6" s="1329"/>
      <c r="F6" s="1329"/>
      <c r="G6" s="1329"/>
      <c r="H6" s="1329"/>
      <c r="I6" s="1329"/>
      <c r="J6" s="1329"/>
      <c r="K6" s="1329"/>
      <c r="L6" s="1329"/>
      <c r="M6" s="1329"/>
      <c r="N6" s="1329"/>
      <c r="O6" s="1329"/>
      <c r="P6" s="1329"/>
      <c r="Q6" s="1329"/>
      <c r="R6" s="1329"/>
      <c r="S6" s="1329"/>
      <c r="T6" s="1330"/>
      <c r="U6" s="1331" t="s">
        <v>326</v>
      </c>
      <c r="V6" s="1331"/>
      <c r="W6" s="1331"/>
      <c r="X6" s="1331"/>
      <c r="Y6" s="1331"/>
      <c r="Z6" s="1331"/>
      <c r="AA6" s="1331"/>
      <c r="AB6" s="1331"/>
      <c r="AC6" s="1332"/>
    </row>
    <row r="7" spans="2:39" ht="14.85" customHeight="1" x14ac:dyDescent="0.3">
      <c r="B7" s="1319"/>
      <c r="C7" s="1320"/>
      <c r="D7" s="399">
        <v>2018</v>
      </c>
      <c r="E7" s="1321">
        <v>2019</v>
      </c>
      <c r="F7" s="1322"/>
      <c r="G7" s="1322"/>
      <c r="H7" s="1323"/>
      <c r="I7" s="1321">
        <v>2020</v>
      </c>
      <c r="J7" s="1322"/>
      <c r="K7" s="1322"/>
      <c r="L7" s="1322"/>
      <c r="M7" s="1321">
        <v>2021</v>
      </c>
      <c r="N7" s="1322"/>
      <c r="O7" s="1322"/>
      <c r="P7" s="1322"/>
      <c r="Q7" s="1321">
        <v>2022</v>
      </c>
      <c r="R7" s="1333"/>
      <c r="S7" s="1333"/>
      <c r="T7" s="1323"/>
      <c r="U7" s="1324">
        <v>2023</v>
      </c>
      <c r="V7" s="1325"/>
      <c r="W7" s="1325"/>
      <c r="X7" s="1325"/>
      <c r="Y7" s="1326">
        <v>2024</v>
      </c>
      <c r="Z7" s="1325"/>
      <c r="AA7" s="1325"/>
      <c r="AB7" s="1327"/>
      <c r="AC7" s="434">
        <v>2025</v>
      </c>
    </row>
    <row r="8" spans="2:39" x14ac:dyDescent="0.3">
      <c r="B8" s="1319"/>
      <c r="C8" s="1320"/>
      <c r="D8" s="435" t="s">
        <v>327</v>
      </c>
      <c r="E8" s="435" t="s">
        <v>328</v>
      </c>
      <c r="F8" s="436" t="s">
        <v>329</v>
      </c>
      <c r="G8" s="436" t="s">
        <v>238</v>
      </c>
      <c r="H8" s="437" t="s">
        <v>327</v>
      </c>
      <c r="I8" s="436" t="s">
        <v>328</v>
      </c>
      <c r="J8" s="436" t="s">
        <v>329</v>
      </c>
      <c r="K8" s="436" t="s">
        <v>238</v>
      </c>
      <c r="L8" s="436" t="s">
        <v>327</v>
      </c>
      <c r="M8" s="435" t="s">
        <v>328</v>
      </c>
      <c r="N8" s="436" t="s">
        <v>329</v>
      </c>
      <c r="O8" s="436" t="s">
        <v>238</v>
      </c>
      <c r="P8" s="436" t="s">
        <v>327</v>
      </c>
      <c r="Q8" s="435" t="s">
        <v>328</v>
      </c>
      <c r="R8" s="436" t="s">
        <v>329</v>
      </c>
      <c r="S8" s="436" t="s">
        <v>238</v>
      </c>
      <c r="T8" s="437" t="s">
        <v>327</v>
      </c>
      <c r="U8" s="438" t="s">
        <v>328</v>
      </c>
      <c r="V8" s="438" t="s">
        <v>329</v>
      </c>
      <c r="W8" s="438" t="s">
        <v>238</v>
      </c>
      <c r="X8" s="438" t="s">
        <v>327</v>
      </c>
      <c r="Y8" s="439" t="s">
        <v>328</v>
      </c>
      <c r="Z8" s="440" t="s">
        <v>329</v>
      </c>
      <c r="AA8" s="438" t="s">
        <v>238</v>
      </c>
      <c r="AB8" s="441" t="s">
        <v>327</v>
      </c>
      <c r="AC8" s="442" t="s">
        <v>328</v>
      </c>
    </row>
    <row r="9" spans="2:39" ht="18" customHeight="1" x14ac:dyDescent="0.3">
      <c r="B9" s="408" t="s">
        <v>1894</v>
      </c>
      <c r="C9" s="409"/>
      <c r="D9" s="410"/>
      <c r="E9" s="410"/>
      <c r="F9" s="410"/>
      <c r="G9" s="410"/>
      <c r="H9" s="410"/>
      <c r="I9" s="410"/>
      <c r="J9" s="410"/>
      <c r="K9" s="410"/>
      <c r="L9" s="410"/>
      <c r="M9" s="410"/>
      <c r="N9" s="410"/>
      <c r="O9" s="410"/>
      <c r="P9" s="410"/>
      <c r="Q9" s="411">
        <v>1613.1</v>
      </c>
      <c r="R9" s="411">
        <v>1622.7</v>
      </c>
      <c r="S9" s="411">
        <v>1656.9</v>
      </c>
      <c r="T9" s="411">
        <v>1665.8</v>
      </c>
      <c r="U9" s="412">
        <v>1683.2</v>
      </c>
      <c r="V9" s="412">
        <v>1699</v>
      </c>
      <c r="W9" s="412">
        <v>1721.1</v>
      </c>
      <c r="X9" s="412">
        <v>1740.7</v>
      </c>
      <c r="Y9" s="412">
        <v>1758.2</v>
      </c>
      <c r="Z9" s="412">
        <v>1774.2</v>
      </c>
      <c r="AA9" s="412">
        <v>1790.4</v>
      </c>
      <c r="AB9" s="412">
        <v>1805.5</v>
      </c>
      <c r="AC9" s="413">
        <v>1819</v>
      </c>
    </row>
    <row r="10" spans="2:39" ht="17.25" customHeight="1" x14ac:dyDescent="0.3">
      <c r="B10" s="433" t="s">
        <v>1895</v>
      </c>
      <c r="C10" s="402"/>
      <c r="D10" s="402"/>
      <c r="E10" s="402"/>
      <c r="F10" s="402"/>
      <c r="G10" s="402"/>
      <c r="H10" s="403"/>
      <c r="I10" s="403"/>
      <c r="J10" s="403"/>
      <c r="K10" s="403"/>
      <c r="L10" s="403"/>
      <c r="M10" s="403"/>
      <c r="N10" s="403"/>
      <c r="O10" s="403"/>
      <c r="P10" s="403"/>
      <c r="Q10" s="404">
        <v>8.6999999999999994E-2</v>
      </c>
      <c r="R10" s="404">
        <v>2.3969999999999998</v>
      </c>
      <c r="S10" s="404">
        <v>8.6859999999999999</v>
      </c>
      <c r="T10" s="404">
        <v>2.1680000000000001</v>
      </c>
      <c r="U10" s="405">
        <v>4.2469999999999999</v>
      </c>
      <c r="V10" s="405">
        <v>3.8140000000000001</v>
      </c>
      <c r="W10" s="405">
        <v>5.2969999999999997</v>
      </c>
      <c r="X10" s="405">
        <v>4.6420000000000003</v>
      </c>
      <c r="Y10" s="405">
        <v>4.077</v>
      </c>
      <c r="Z10" s="405">
        <v>3.6869999999999998</v>
      </c>
      <c r="AA10" s="405">
        <v>3.7109999999999999</v>
      </c>
      <c r="AB10" s="405">
        <v>3.4009999999999998</v>
      </c>
      <c r="AC10" s="414">
        <v>3.0379999999999998</v>
      </c>
    </row>
    <row r="11" spans="2:39" ht="17.25" customHeight="1" x14ac:dyDescent="0.3">
      <c r="B11" s="448" t="s">
        <v>195</v>
      </c>
      <c r="C11" s="402" t="s">
        <v>982</v>
      </c>
      <c r="D11" s="402"/>
      <c r="E11" s="402"/>
      <c r="F11" s="402"/>
      <c r="G11" s="402"/>
      <c r="H11" s="404">
        <f>'Haver Pivoted'!GS23</f>
        <v>1437.7</v>
      </c>
      <c r="I11" s="404">
        <f>'Haver Pivoted'!GT23</f>
        <v>1455.6</v>
      </c>
      <c r="J11" s="404">
        <f>'Haver Pivoted'!GU23</f>
        <v>1560</v>
      </c>
      <c r="K11" s="404">
        <f>'Haver Pivoted'!GV23</f>
        <v>1525.3</v>
      </c>
      <c r="L11" s="404">
        <f>'Haver Pivoted'!GW23</f>
        <v>1541.3</v>
      </c>
      <c r="M11" s="404">
        <f>'Haver Pivoted'!GX23</f>
        <v>1620.3</v>
      </c>
      <c r="N11" s="404">
        <f>'Haver Pivoted'!GY23</f>
        <v>1608</v>
      </c>
      <c r="O11" s="404">
        <f>'Haver Pivoted'!GZ23</f>
        <v>1595.5</v>
      </c>
      <c r="P11" s="404">
        <f>'Haver Pivoted'!HA23</f>
        <v>1612.8</v>
      </c>
      <c r="Q11" s="404">
        <f>'Haver Pivoted'!HB23</f>
        <v>1613.1</v>
      </c>
      <c r="R11" s="404">
        <f>'Haver Pivoted'!HC23</f>
        <v>1622.7</v>
      </c>
      <c r="S11" s="406">
        <f>'Haver Pivoted'!HD23</f>
        <v>1657.1</v>
      </c>
      <c r="T11" s="406">
        <f>'Haver Pivoted'!HE23</f>
        <v>1693.8</v>
      </c>
      <c r="U11" s="407">
        <f t="shared" ref="U11:AC11" si="0">(U9/T9)*T11</f>
        <v>1711.4924720854842</v>
      </c>
      <c r="V11" s="407">
        <f t="shared" si="0"/>
        <v>1727.5580501860964</v>
      </c>
      <c r="W11" s="407">
        <f t="shared" si="0"/>
        <v>1750.0295233521426</v>
      </c>
      <c r="X11" s="407">
        <f t="shared" si="0"/>
        <v>1769.9589746668264</v>
      </c>
      <c r="Y11" s="407">
        <f t="shared" si="0"/>
        <v>1787.7531276263653</v>
      </c>
      <c r="Z11" s="407">
        <f t="shared" si="0"/>
        <v>1804.0220674750865</v>
      </c>
      <c r="AA11" s="407">
        <f t="shared" si="0"/>
        <v>1820.4943690719167</v>
      </c>
      <c r="AB11" s="407">
        <f t="shared" si="0"/>
        <v>1835.8481810541475</v>
      </c>
      <c r="AC11" s="415">
        <f t="shared" si="0"/>
        <v>1849.5750990515062</v>
      </c>
    </row>
    <row r="12" spans="2:39" x14ac:dyDescent="0.3">
      <c r="B12" s="443" t="s">
        <v>435</v>
      </c>
      <c r="C12" s="444"/>
      <c r="D12" s="444"/>
      <c r="E12" s="444"/>
      <c r="F12" s="444"/>
      <c r="G12" s="444"/>
      <c r="H12" s="447">
        <f t="shared" ref="H12:AC12" si="1">H11+H49</f>
        <v>1715.8720000000001</v>
      </c>
      <c r="I12" s="447">
        <f t="shared" si="1"/>
        <v>1741.471</v>
      </c>
      <c r="J12" s="447">
        <f t="shared" si="1"/>
        <v>1961.299</v>
      </c>
      <c r="K12" s="447">
        <f t="shared" si="1"/>
        <v>1901.492</v>
      </c>
      <c r="L12" s="447">
        <f t="shared" si="1"/>
        <v>1906.6610000000001</v>
      </c>
      <c r="M12" s="447">
        <f t="shared" si="1"/>
        <v>2009.6410000000001</v>
      </c>
      <c r="N12" s="447">
        <f t="shared" si="1"/>
        <v>2044.5930000000001</v>
      </c>
      <c r="O12" s="447">
        <f t="shared" si="1"/>
        <v>2039.836</v>
      </c>
      <c r="P12" s="447">
        <f t="shared" si="1"/>
        <v>2086.861852</v>
      </c>
      <c r="Q12" s="447">
        <f t="shared" si="1"/>
        <v>2124.0872747999997</v>
      </c>
      <c r="R12" s="447">
        <f t="shared" si="1"/>
        <v>2203.0890319999999</v>
      </c>
      <c r="S12" s="446">
        <f t="shared" si="1"/>
        <v>2224.8278679999999</v>
      </c>
      <c r="T12" s="446">
        <f t="shared" si="1"/>
        <v>2188.6759280000001</v>
      </c>
      <c r="U12" s="445">
        <f t="shared" si="1"/>
        <v>2183.2021499646758</v>
      </c>
      <c r="V12" s="445">
        <f t="shared" si="1"/>
        <v>2203.0924114019285</v>
      </c>
      <c r="W12" s="445">
        <f t="shared" si="1"/>
        <v>2223.9108560342324</v>
      </c>
      <c r="X12" s="445">
        <f t="shared" si="1"/>
        <v>2245.3754253334928</v>
      </c>
      <c r="Y12" s="445">
        <f t="shared" si="1"/>
        <v>2251.2703182527243</v>
      </c>
      <c r="Z12" s="445">
        <f t="shared" si="1"/>
        <v>2247.1830823795517</v>
      </c>
      <c r="AA12" s="445">
        <f t="shared" si="1"/>
        <v>2267.6164428212901</v>
      </c>
      <c r="AB12" s="445">
        <f t="shared" si="1"/>
        <v>2288.811296087481</v>
      </c>
      <c r="AC12" s="416">
        <f t="shared" si="1"/>
        <v>2285.1983378229197</v>
      </c>
      <c r="AD12" s="213" t="s">
        <v>436</v>
      </c>
    </row>
    <row r="13" spans="2:39" ht="15.75" customHeight="1" x14ac:dyDescent="0.3">
      <c r="B13" s="238"/>
      <c r="C13" s="238"/>
      <c r="D13" s="238"/>
      <c r="E13" s="238"/>
      <c r="F13" s="238"/>
      <c r="G13" s="238"/>
      <c r="H13" s="214"/>
      <c r="I13" s="214"/>
      <c r="J13" s="214"/>
      <c r="K13" s="214"/>
      <c r="L13" s="214"/>
      <c r="M13" s="214"/>
      <c r="N13" s="214"/>
      <c r="O13" s="214"/>
      <c r="AD13" s="213"/>
    </row>
    <row r="14" spans="2:39" x14ac:dyDescent="0.3">
      <c r="B14" s="238"/>
      <c r="C14" s="238"/>
      <c r="D14" s="238"/>
      <c r="E14" s="238"/>
      <c r="F14" s="238"/>
      <c r="G14" s="238"/>
      <c r="H14" s="214"/>
      <c r="I14" s="214"/>
      <c r="J14" s="214"/>
      <c r="K14" s="214"/>
      <c r="L14" s="214"/>
      <c r="M14" s="214"/>
      <c r="N14" s="214"/>
      <c r="O14" s="214"/>
      <c r="P14" s="461"/>
      <c r="Q14" s="461"/>
      <c r="R14" s="461"/>
      <c r="S14" s="461"/>
      <c r="T14" s="461"/>
      <c r="U14" s="461"/>
      <c r="V14" s="461"/>
      <c r="W14" s="461"/>
      <c r="X14" s="461"/>
      <c r="Y14" s="461"/>
      <c r="Z14" s="461"/>
      <c r="AA14" s="461"/>
      <c r="AB14" s="461"/>
      <c r="AC14" s="461"/>
    </row>
    <row r="15" spans="2:39" ht="21.75" customHeight="1" x14ac:dyDescent="0.3">
      <c r="B15" s="1276" t="s">
        <v>165</v>
      </c>
      <c r="C15" s="1276"/>
      <c r="D15" s="1276"/>
      <c r="E15" s="1276"/>
      <c r="F15" s="1276"/>
      <c r="G15" s="1276"/>
      <c r="H15" s="1276"/>
      <c r="I15" s="1276"/>
      <c r="J15" s="1276"/>
      <c r="K15" s="1276"/>
      <c r="L15" s="1276"/>
      <c r="M15" s="1276"/>
      <c r="N15" s="1276"/>
      <c r="O15" s="1276"/>
      <c r="P15" s="1276"/>
      <c r="Q15" s="1276"/>
      <c r="R15" s="1276"/>
      <c r="S15" s="1276"/>
      <c r="T15" s="1276"/>
      <c r="U15" s="1276"/>
      <c r="V15" s="1276"/>
      <c r="W15" s="1276"/>
      <c r="X15" s="1276"/>
      <c r="Y15" s="1276"/>
      <c r="Z15" s="1276"/>
      <c r="AA15" s="1276"/>
      <c r="AB15" s="1276"/>
      <c r="AC15" s="1276"/>
      <c r="AE15" s="165"/>
    </row>
    <row r="16" spans="2:39" ht="14.25" customHeight="1" x14ac:dyDescent="0.3">
      <c r="B16" s="1277" t="s">
        <v>437</v>
      </c>
      <c r="C16" s="1277"/>
      <c r="D16" s="1277"/>
      <c r="E16" s="1277"/>
      <c r="F16" s="1277"/>
      <c r="G16" s="1277"/>
      <c r="H16" s="1277"/>
      <c r="I16" s="1277"/>
      <c r="J16" s="1277"/>
      <c r="K16" s="1277"/>
      <c r="L16" s="1277"/>
      <c r="M16" s="1277"/>
      <c r="N16" s="1277"/>
      <c r="O16" s="1277"/>
      <c r="P16" s="1277"/>
      <c r="Q16" s="1277"/>
      <c r="R16" s="1277"/>
      <c r="S16" s="1277"/>
      <c r="T16" s="1277"/>
      <c r="U16" s="1277"/>
      <c r="V16" s="1277"/>
      <c r="W16" s="1277"/>
      <c r="X16" s="1277"/>
      <c r="Y16" s="1277"/>
      <c r="Z16" s="1277"/>
      <c r="AA16" s="1277"/>
      <c r="AB16" s="1277"/>
      <c r="AC16" s="1277"/>
      <c r="AE16" s="165"/>
    </row>
    <row r="17" spans="2:30" x14ac:dyDescent="0.3">
      <c r="B17" s="1277"/>
      <c r="C17" s="1277"/>
      <c r="D17" s="1277"/>
      <c r="E17" s="1277"/>
      <c r="F17" s="1277"/>
      <c r="G17" s="1277"/>
      <c r="H17" s="1277"/>
      <c r="I17" s="1277"/>
      <c r="J17" s="1277"/>
      <c r="K17" s="1277"/>
      <c r="L17" s="1277"/>
      <c r="M17" s="1277"/>
      <c r="N17" s="1277"/>
      <c r="O17" s="1277"/>
      <c r="P17" s="1277"/>
      <c r="Q17" s="1277"/>
      <c r="R17" s="1277"/>
      <c r="S17" s="1277"/>
      <c r="T17" s="1277"/>
      <c r="U17" s="1277"/>
      <c r="V17" s="1277"/>
      <c r="W17" s="1277"/>
      <c r="X17" s="1277"/>
      <c r="Y17" s="1277"/>
      <c r="Z17" s="1277"/>
      <c r="AA17" s="1277"/>
      <c r="AB17" s="1277"/>
      <c r="AC17" s="1277"/>
    </row>
    <row r="18" spans="2:30" x14ac:dyDescent="0.3">
      <c r="B18" s="1277"/>
      <c r="C18" s="1277"/>
      <c r="D18" s="1277"/>
      <c r="E18" s="1277"/>
      <c r="F18" s="1277"/>
      <c r="G18" s="1277"/>
      <c r="H18" s="1277"/>
      <c r="I18" s="1277"/>
      <c r="J18" s="1277"/>
      <c r="K18" s="1277"/>
      <c r="L18" s="1277"/>
      <c r="M18" s="1277"/>
      <c r="N18" s="1277"/>
      <c r="O18" s="1277"/>
      <c r="P18" s="1277"/>
      <c r="Q18" s="1277"/>
      <c r="R18" s="1277"/>
      <c r="S18" s="1277"/>
      <c r="T18" s="1277"/>
      <c r="U18" s="1277"/>
      <c r="V18" s="1277"/>
      <c r="W18" s="1277"/>
      <c r="X18" s="1277"/>
      <c r="Y18" s="1277"/>
      <c r="Z18" s="1277"/>
      <c r="AA18" s="1277"/>
      <c r="AB18" s="1277"/>
      <c r="AC18" s="1277"/>
    </row>
    <row r="20" spans="2:30" x14ac:dyDescent="0.3">
      <c r="B20" s="1280" t="s">
        <v>324</v>
      </c>
      <c r="C20" s="1281"/>
      <c r="D20" s="1334" t="s">
        <v>325</v>
      </c>
      <c r="E20" s="1335"/>
      <c r="F20" s="1335"/>
      <c r="G20" s="1335"/>
      <c r="H20" s="1335"/>
      <c r="I20" s="1335"/>
      <c r="J20" s="1335"/>
      <c r="K20" s="1335"/>
      <c r="L20" s="1335"/>
      <c r="M20" s="1335"/>
      <c r="N20" s="1335"/>
      <c r="O20" s="1335"/>
      <c r="P20" s="1335"/>
      <c r="Q20" s="1316"/>
      <c r="R20" s="1316"/>
      <c r="S20" s="1316"/>
      <c r="T20" s="1281"/>
      <c r="U20" s="1336" t="s">
        <v>326</v>
      </c>
      <c r="V20" s="1336"/>
      <c r="W20" s="1336"/>
      <c r="X20" s="1336"/>
      <c r="Y20" s="1336"/>
      <c r="Z20" s="1336"/>
      <c r="AA20" s="1336"/>
      <c r="AB20" s="1336"/>
      <c r="AC20" s="1337"/>
    </row>
    <row r="21" spans="2:30" x14ac:dyDescent="0.3">
      <c r="B21" s="1282"/>
      <c r="C21" s="1283"/>
      <c r="D21" s="157">
        <v>2018</v>
      </c>
      <c r="E21" s="1273">
        <v>2019</v>
      </c>
      <c r="F21" s="1274"/>
      <c r="G21" s="1274"/>
      <c r="H21" s="1279"/>
      <c r="I21" s="1273">
        <v>2020</v>
      </c>
      <c r="J21" s="1274"/>
      <c r="K21" s="1274"/>
      <c r="L21" s="1274"/>
      <c r="M21" s="1273">
        <v>2021</v>
      </c>
      <c r="N21" s="1274"/>
      <c r="O21" s="1274"/>
      <c r="P21" s="1274"/>
      <c r="Q21" s="1273">
        <v>2022</v>
      </c>
      <c r="R21" s="1274"/>
      <c r="S21" s="1274"/>
      <c r="T21" s="1279"/>
      <c r="U21" s="1284">
        <v>2023</v>
      </c>
      <c r="V21" s="1284"/>
      <c r="W21" s="1284"/>
      <c r="X21" s="1284"/>
      <c r="Y21" s="1287">
        <v>2024</v>
      </c>
      <c r="Z21" s="1284"/>
      <c r="AA21" s="1284"/>
      <c r="AB21" s="1286"/>
      <c r="AC21" s="233">
        <v>2025</v>
      </c>
    </row>
    <row r="22" spans="2:30" x14ac:dyDescent="0.3">
      <c r="B22" s="1282"/>
      <c r="C22" s="1283"/>
      <c r="D22" s="163" t="s">
        <v>327</v>
      </c>
      <c r="E22" s="163" t="s">
        <v>328</v>
      </c>
      <c r="F22" s="176" t="s">
        <v>329</v>
      </c>
      <c r="G22" s="176" t="s">
        <v>238</v>
      </c>
      <c r="H22" s="159" t="s">
        <v>327</v>
      </c>
      <c r="I22" s="176" t="s">
        <v>328</v>
      </c>
      <c r="J22" s="176" t="s">
        <v>329</v>
      </c>
      <c r="K22" s="176" t="s">
        <v>238</v>
      </c>
      <c r="L22" s="176" t="s">
        <v>327</v>
      </c>
      <c r="M22" s="163" t="s">
        <v>328</v>
      </c>
      <c r="N22" s="176" t="s">
        <v>329</v>
      </c>
      <c r="O22" s="176" t="s">
        <v>238</v>
      </c>
      <c r="P22" s="176" t="s">
        <v>327</v>
      </c>
      <c r="Q22" s="163" t="s">
        <v>328</v>
      </c>
      <c r="R22" s="176" t="s">
        <v>329</v>
      </c>
      <c r="S22" s="176" t="s">
        <v>238</v>
      </c>
      <c r="T22" s="159" t="s">
        <v>327</v>
      </c>
      <c r="U22" s="280" t="s">
        <v>328</v>
      </c>
      <c r="V22" s="280" t="s">
        <v>329</v>
      </c>
      <c r="W22" s="280" t="s">
        <v>238</v>
      </c>
      <c r="X22" s="280" t="s">
        <v>327</v>
      </c>
      <c r="Y22" s="348" t="s">
        <v>328</v>
      </c>
      <c r="Z22" s="228" t="s">
        <v>329</v>
      </c>
      <c r="AA22" s="280" t="s">
        <v>238</v>
      </c>
      <c r="AB22" s="278" t="s">
        <v>327</v>
      </c>
      <c r="AC22" s="373" t="s">
        <v>328</v>
      </c>
    </row>
    <row r="23" spans="2:30" x14ac:dyDescent="0.3">
      <c r="B23" s="471" t="s">
        <v>111</v>
      </c>
      <c r="C23" s="454" t="s">
        <v>438</v>
      </c>
      <c r="D23" s="454"/>
      <c r="E23" s="454"/>
      <c r="F23" s="454"/>
      <c r="G23" s="454"/>
      <c r="H23" s="453">
        <f>'Haver Pivoted'!GS24</f>
        <v>2384.1999999999998</v>
      </c>
      <c r="I23" s="453">
        <f>'Haver Pivoted'!GT24</f>
        <v>2427.4</v>
      </c>
      <c r="J23" s="453">
        <f>'Haver Pivoted'!GU24</f>
        <v>2391.8000000000002</v>
      </c>
      <c r="K23" s="453">
        <f>'Haver Pivoted'!GV24</f>
        <v>2397.6</v>
      </c>
      <c r="L23" s="453">
        <f>'Haver Pivoted'!GW24</f>
        <v>2416.5</v>
      </c>
      <c r="M23" s="453">
        <f>'Haver Pivoted'!GX24</f>
        <v>2468.4</v>
      </c>
      <c r="N23" s="453">
        <f>'Haver Pivoted'!GY24</f>
        <v>2516.4</v>
      </c>
      <c r="O23" s="453">
        <f>'Haver Pivoted'!GZ24</f>
        <v>2587.6</v>
      </c>
      <c r="P23" s="453">
        <f>'Haver Pivoted'!HA24</f>
        <v>2633.9</v>
      </c>
      <c r="Q23" s="453">
        <f>'Haver Pivoted'!HB24</f>
        <v>2698.2</v>
      </c>
      <c r="R23" s="453">
        <f>'Haver Pivoted'!HC24</f>
        <v>2790</v>
      </c>
      <c r="S23" s="431">
        <f>'Haver Pivoted'!HD24</f>
        <v>2836</v>
      </c>
      <c r="T23" s="431">
        <f>'Haver Pivoted'!HE24</f>
        <v>2878.7</v>
      </c>
      <c r="U23" s="432"/>
      <c r="V23" s="428"/>
      <c r="W23" s="428"/>
      <c r="X23" s="428"/>
      <c r="Y23" s="428"/>
      <c r="Z23" s="428"/>
      <c r="AA23" s="428"/>
      <c r="AB23" s="428"/>
      <c r="AC23" s="430"/>
    </row>
    <row r="24" spans="2:30" ht="29.25" customHeight="1" x14ac:dyDescent="0.3">
      <c r="B24" s="478" t="s">
        <v>1896</v>
      </c>
      <c r="C24" s="420"/>
      <c r="D24" s="420"/>
      <c r="E24" s="420"/>
      <c r="F24" s="420"/>
      <c r="G24" s="420"/>
      <c r="H24" s="214"/>
      <c r="I24" s="214"/>
      <c r="J24" s="214"/>
      <c r="K24" s="214"/>
      <c r="L24" s="214"/>
      <c r="M24" s="214"/>
      <c r="N24" s="214"/>
      <c r="O24" s="214"/>
      <c r="P24" s="214"/>
      <c r="Q24" s="421">
        <v>2698.2</v>
      </c>
      <c r="R24" s="421">
        <v>2790</v>
      </c>
      <c r="S24" s="421">
        <v>2829.6</v>
      </c>
      <c r="T24" s="421">
        <v>2871.1</v>
      </c>
      <c r="U24" s="424">
        <v>2900.1</v>
      </c>
      <c r="V24" s="422">
        <v>2932.7</v>
      </c>
      <c r="W24" s="422">
        <v>2970.6</v>
      </c>
      <c r="X24" s="422">
        <v>3002.9</v>
      </c>
      <c r="Y24" s="422">
        <v>3034.4</v>
      </c>
      <c r="Z24" s="422">
        <v>3062.5</v>
      </c>
      <c r="AA24" s="422">
        <v>3090.1</v>
      </c>
      <c r="AB24" s="422">
        <v>3117.6</v>
      </c>
      <c r="AC24" s="423">
        <v>3146.1</v>
      </c>
    </row>
    <row r="25" spans="2:30" ht="21" customHeight="1" x14ac:dyDescent="0.3">
      <c r="B25" s="450" t="s">
        <v>439</v>
      </c>
      <c r="C25" s="238"/>
      <c r="D25" s="238"/>
      <c r="E25" s="238"/>
      <c r="F25" s="238"/>
      <c r="G25" s="238"/>
      <c r="H25" s="211"/>
      <c r="I25" s="211"/>
      <c r="J25" s="211"/>
      <c r="K25" s="211"/>
      <c r="L25" s="211"/>
      <c r="M25" s="417">
        <f>((M26/L26)^4-1)*100</f>
        <v>8.8716871433844435</v>
      </c>
      <c r="N25" s="417">
        <f t="shared" ref="N25:Q25" si="2">((N26/M26)^4-1)*100</f>
        <v>8.0081568848658691</v>
      </c>
      <c r="O25" s="417">
        <f t="shared" si="2"/>
        <v>11.807223761379305</v>
      </c>
      <c r="P25" s="417">
        <f t="shared" si="2"/>
        <v>7.3516092986590564</v>
      </c>
      <c r="Q25" s="417">
        <f t="shared" si="2"/>
        <v>10.128423587170188</v>
      </c>
      <c r="R25" s="417">
        <f>((R26/Q26)^4-1)*100</f>
        <v>14.319485516488072</v>
      </c>
      <c r="S25" s="418">
        <f>((S26/R26)^4-1)*100</f>
        <v>6.7598839303983915</v>
      </c>
      <c r="T25" s="418">
        <f>((T26/S26)^4-1)*100</f>
        <v>6.159954849519278</v>
      </c>
      <c r="U25" s="459">
        <f t="shared" ref="U25:AC25" si="3">((U24/T24)^4-1)*100</f>
        <v>4.1018905342404821</v>
      </c>
      <c r="V25" s="229">
        <f t="shared" si="3"/>
        <v>4.5727823733710871</v>
      </c>
      <c r="W25" s="229">
        <f t="shared" si="3"/>
        <v>5.2703701851707363</v>
      </c>
      <c r="X25" s="229">
        <f t="shared" si="3"/>
        <v>4.4207415105887327</v>
      </c>
      <c r="Y25" s="229">
        <f t="shared" si="3"/>
        <v>4.2624291366428535</v>
      </c>
      <c r="Z25" s="229">
        <f t="shared" si="3"/>
        <v>3.7559642184341602</v>
      </c>
      <c r="AA25" s="229">
        <f t="shared" si="3"/>
        <v>3.6539237455461615</v>
      </c>
      <c r="AB25" s="229">
        <f t="shared" si="3"/>
        <v>3.6075573724492882</v>
      </c>
      <c r="AC25" s="229">
        <f t="shared" si="3"/>
        <v>3.7071070833272657</v>
      </c>
      <c r="AD25" s="467" t="s">
        <v>440</v>
      </c>
    </row>
    <row r="26" spans="2:30" ht="17.850000000000001" customHeight="1" x14ac:dyDescent="0.3">
      <c r="B26" s="476" t="s">
        <v>441</v>
      </c>
      <c r="C26" s="250"/>
      <c r="D26" s="250"/>
      <c r="E26" s="250"/>
      <c r="F26" s="250"/>
      <c r="G26" s="250"/>
      <c r="H26" s="219">
        <f t="shared" ref="H26:T26" si="4">H23</f>
        <v>2384.1999999999998</v>
      </c>
      <c r="I26" s="219">
        <f t="shared" si="4"/>
        <v>2427.4</v>
      </c>
      <c r="J26" s="219">
        <f t="shared" si="4"/>
        <v>2391.8000000000002</v>
      </c>
      <c r="K26" s="219">
        <f t="shared" si="4"/>
        <v>2397.6</v>
      </c>
      <c r="L26" s="219">
        <f t="shared" si="4"/>
        <v>2416.5</v>
      </c>
      <c r="M26" s="219">
        <f t="shared" si="4"/>
        <v>2468.4</v>
      </c>
      <c r="N26" s="219">
        <f t="shared" si="4"/>
        <v>2516.4</v>
      </c>
      <c r="O26" s="219">
        <f t="shared" si="4"/>
        <v>2587.6</v>
      </c>
      <c r="P26" s="219">
        <f t="shared" si="4"/>
        <v>2633.9</v>
      </c>
      <c r="Q26" s="219">
        <f t="shared" si="4"/>
        <v>2698.2</v>
      </c>
      <c r="R26" s="219">
        <f t="shared" si="4"/>
        <v>2790</v>
      </c>
      <c r="S26" s="215">
        <f t="shared" si="4"/>
        <v>2836</v>
      </c>
      <c r="T26" s="215">
        <f t="shared" si="4"/>
        <v>2878.7</v>
      </c>
      <c r="U26" s="429">
        <f t="shared" ref="U26:AC26" si="5">T26*((1+U25/100)^0.25)</f>
        <v>2907.7767650029605</v>
      </c>
      <c r="V26" s="216">
        <f t="shared" si="5"/>
        <v>2940.4630594545642</v>
      </c>
      <c r="W26" s="216">
        <f t="shared" si="5"/>
        <v>2978.4633833722264</v>
      </c>
      <c r="X26" s="216">
        <f t="shared" si="5"/>
        <v>3010.8488837031105</v>
      </c>
      <c r="Y26" s="216">
        <f t="shared" si="5"/>
        <v>3042.4322663787398</v>
      </c>
      <c r="Z26" s="216">
        <f t="shared" si="5"/>
        <v>3070.6066490195394</v>
      </c>
      <c r="AA26" s="216">
        <f t="shared" si="5"/>
        <v>3098.279708125805</v>
      </c>
      <c r="AB26" s="216">
        <f t="shared" si="5"/>
        <v>3125.8525025251643</v>
      </c>
      <c r="AC26" s="216">
        <f t="shared" si="5"/>
        <v>3154.4279439935913</v>
      </c>
    </row>
    <row r="27" spans="2:30" x14ac:dyDescent="0.3">
      <c r="B27" s="451" t="s">
        <v>442</v>
      </c>
      <c r="C27" s="452"/>
      <c r="D27" s="452"/>
      <c r="E27" s="452"/>
      <c r="F27" s="452"/>
      <c r="G27" s="452"/>
      <c r="H27" s="466">
        <f t="shared" ref="H27:P27" si="6">H23-H49</f>
        <v>2106.0279999999998</v>
      </c>
      <c r="I27" s="466">
        <f t="shared" si="6"/>
        <v>2141.529</v>
      </c>
      <c r="J27" s="466">
        <f t="shared" si="6"/>
        <v>1990.5010000000002</v>
      </c>
      <c r="K27" s="466">
        <f t="shared" si="6"/>
        <v>2021.4079999999999</v>
      </c>
      <c r="L27" s="466">
        <f t="shared" si="6"/>
        <v>2051.1390000000001</v>
      </c>
      <c r="M27" s="466">
        <f t="shared" si="6"/>
        <v>2079.0590000000002</v>
      </c>
      <c r="N27" s="466">
        <f t="shared" si="6"/>
        <v>2079.8069999999998</v>
      </c>
      <c r="O27" s="466">
        <f t="shared" si="6"/>
        <v>2143.2640000000001</v>
      </c>
      <c r="P27" s="466">
        <f t="shared" si="6"/>
        <v>2159.8381479999998</v>
      </c>
      <c r="Q27" s="466">
        <f t="shared" ref="Q27:AC27" si="7">Q26-Q49</f>
        <v>2187.2127252</v>
      </c>
      <c r="R27" s="466">
        <f t="shared" si="7"/>
        <v>2209.610968</v>
      </c>
      <c r="S27" s="466">
        <f t="shared" si="7"/>
        <v>2268.2721320000001</v>
      </c>
      <c r="T27" s="466">
        <f t="shared" si="7"/>
        <v>2383.8240719999999</v>
      </c>
      <c r="U27" s="469">
        <f t="shared" si="7"/>
        <v>2436.0670871237689</v>
      </c>
      <c r="V27" s="242">
        <f t="shared" si="7"/>
        <v>2464.9286982387321</v>
      </c>
      <c r="W27" s="242">
        <f t="shared" si="7"/>
        <v>2504.5820506901368</v>
      </c>
      <c r="X27" s="242">
        <f t="shared" si="7"/>
        <v>2535.4324330364439</v>
      </c>
      <c r="Y27" s="242">
        <f t="shared" si="7"/>
        <v>2578.9150757523807</v>
      </c>
      <c r="Z27" s="242">
        <f t="shared" si="7"/>
        <v>2627.445634115074</v>
      </c>
      <c r="AA27" s="242">
        <f t="shared" si="7"/>
        <v>2651.1576343764318</v>
      </c>
      <c r="AB27" s="242">
        <f t="shared" si="7"/>
        <v>2672.8893874918308</v>
      </c>
      <c r="AC27" s="394">
        <f t="shared" si="7"/>
        <v>2718.8047052221777</v>
      </c>
      <c r="AD27" s="213" t="s">
        <v>443</v>
      </c>
    </row>
    <row r="28" spans="2:30" x14ac:dyDescent="0.3">
      <c r="B28" s="35"/>
      <c r="C28" s="35"/>
      <c r="D28" s="35"/>
      <c r="E28" s="35"/>
      <c r="F28" s="35"/>
      <c r="G28" s="35"/>
      <c r="H28" s="35"/>
      <c r="I28" s="35"/>
      <c r="J28" s="35"/>
      <c r="K28" s="35"/>
      <c r="L28" s="35"/>
      <c r="M28" s="165"/>
      <c r="N28" s="165"/>
      <c r="O28" s="165"/>
      <c r="P28" s="165"/>
      <c r="Q28" s="165"/>
      <c r="R28" s="165"/>
      <c r="S28" s="127"/>
      <c r="T28" s="127"/>
      <c r="U28" s="127"/>
      <c r="V28" s="127"/>
      <c r="W28" s="127"/>
      <c r="X28" s="127"/>
      <c r="Y28" s="127"/>
      <c r="Z28" s="127"/>
      <c r="AA28" s="127"/>
      <c r="AB28" s="127"/>
      <c r="AC28" s="127"/>
    </row>
    <row r="29" spans="2:30" x14ac:dyDescent="0.3">
      <c r="B29" s="35"/>
      <c r="C29" s="35"/>
      <c r="D29" s="35"/>
      <c r="E29" s="35"/>
      <c r="F29" s="35"/>
      <c r="G29" s="35"/>
      <c r="H29" s="35"/>
      <c r="I29" s="35"/>
      <c r="J29" s="35"/>
      <c r="K29" s="35"/>
      <c r="L29" s="35"/>
      <c r="M29" s="165"/>
      <c r="N29" s="165"/>
      <c r="O29" s="165"/>
      <c r="P29" s="165"/>
      <c r="Q29" s="165"/>
      <c r="R29" s="165"/>
      <c r="S29" s="127"/>
      <c r="T29" s="127"/>
      <c r="U29" s="127"/>
      <c r="V29" s="127"/>
      <c r="W29" s="127"/>
      <c r="X29" s="127"/>
      <c r="Y29" s="127"/>
      <c r="Z29" s="127"/>
      <c r="AA29" s="127"/>
      <c r="AB29" s="127"/>
      <c r="AC29" s="127"/>
    </row>
    <row r="30" spans="2:30" x14ac:dyDescent="0.3">
      <c r="B30" s="35"/>
      <c r="C30" s="35"/>
      <c r="D30" s="35"/>
      <c r="E30" s="35"/>
      <c r="F30" s="35"/>
      <c r="G30" s="35"/>
      <c r="H30" s="35"/>
      <c r="I30" s="35"/>
      <c r="J30" s="35"/>
      <c r="K30" s="35"/>
      <c r="L30" s="35"/>
      <c r="M30" s="165"/>
      <c r="N30" s="165"/>
      <c r="O30" s="165"/>
      <c r="P30" s="165"/>
      <c r="Q30" s="165"/>
      <c r="R30" s="165"/>
      <c r="S30" s="127"/>
      <c r="T30" s="127"/>
      <c r="U30" s="127"/>
      <c r="V30" s="127"/>
      <c r="W30" s="127"/>
      <c r="X30" s="127"/>
      <c r="Y30" s="127"/>
      <c r="Z30" s="127"/>
      <c r="AA30" s="127"/>
      <c r="AB30" s="127"/>
      <c r="AC30" s="127"/>
    </row>
    <row r="31" spans="2:30" x14ac:dyDescent="0.3">
      <c r="B31" s="238"/>
      <c r="C31" s="238"/>
      <c r="D31" s="238"/>
      <c r="E31" s="238"/>
      <c r="F31" s="238"/>
      <c r="G31" s="238"/>
      <c r="H31" s="214"/>
      <c r="I31" s="214"/>
      <c r="J31" s="214"/>
      <c r="K31" s="214"/>
      <c r="L31" s="214"/>
      <c r="M31" s="214"/>
      <c r="N31" s="214"/>
      <c r="O31" s="214"/>
      <c r="P31" s="214"/>
      <c r="Q31" s="462"/>
      <c r="R31" s="214"/>
      <c r="S31" s="214"/>
      <c r="T31" s="214"/>
      <c r="U31" s="214"/>
      <c r="V31" s="214"/>
      <c r="W31" s="214"/>
      <c r="X31" s="214"/>
      <c r="Y31" s="214"/>
      <c r="Z31" s="214"/>
    </row>
    <row r="32" spans="2:30" ht="85.35" customHeight="1" x14ac:dyDescent="0.3">
      <c r="B32" s="470" t="s">
        <v>940</v>
      </c>
      <c r="C32" s="475" t="s">
        <v>939</v>
      </c>
      <c r="D32" s="473">
        <v>44197</v>
      </c>
      <c r="E32" s="474">
        <v>44228</v>
      </c>
      <c r="F32" s="474">
        <v>44256</v>
      </c>
      <c r="G32" s="474">
        <v>44287</v>
      </c>
      <c r="H32" s="474">
        <v>44317</v>
      </c>
      <c r="I32" s="474">
        <v>44348</v>
      </c>
      <c r="J32" s="474">
        <v>44378</v>
      </c>
      <c r="K32" s="474">
        <v>44409</v>
      </c>
      <c r="L32" s="474">
        <v>44440</v>
      </c>
      <c r="M32" s="474">
        <v>44470</v>
      </c>
      <c r="N32" s="474">
        <v>44501</v>
      </c>
      <c r="O32" s="474">
        <v>44531</v>
      </c>
      <c r="P32" s="464">
        <v>44562</v>
      </c>
      <c r="Q32" s="463">
        <v>44593</v>
      </c>
      <c r="R32" s="464">
        <v>44621</v>
      </c>
      <c r="S32" s="464">
        <v>44652</v>
      </c>
      <c r="T32" s="464">
        <v>44682</v>
      </c>
      <c r="U32" s="464">
        <v>44713</v>
      </c>
      <c r="V32" s="464">
        <v>44743</v>
      </c>
      <c r="W32" s="464">
        <v>44774</v>
      </c>
      <c r="X32" s="464">
        <v>44805</v>
      </c>
      <c r="Y32" s="464">
        <v>44835</v>
      </c>
      <c r="Z32" s="464">
        <v>44866</v>
      </c>
      <c r="AA32" s="464">
        <v>44896</v>
      </c>
      <c r="AB32" s="464">
        <v>44927</v>
      </c>
      <c r="AC32" s="464">
        <v>44958</v>
      </c>
    </row>
    <row r="33" spans="2:33" ht="19.5" customHeight="1" x14ac:dyDescent="0.3">
      <c r="B33" s="353" t="s">
        <v>444</v>
      </c>
      <c r="C33" s="460"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14"/>
    </row>
    <row r="34" spans="2:33" ht="18" customHeight="1" x14ac:dyDescent="0.3">
      <c r="B34" s="243" t="s">
        <v>446</v>
      </c>
      <c r="C34" s="213"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14"/>
      <c r="AG34" s="213"/>
    </row>
    <row r="35" spans="2:33" ht="19.5" customHeight="1" x14ac:dyDescent="0.3">
      <c r="B35" s="451" t="s">
        <v>448</v>
      </c>
      <c r="C35" s="264"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14"/>
      <c r="AG35" s="213"/>
    </row>
    <row r="36" spans="2:33" ht="15.6" customHeight="1" x14ac:dyDescent="0.3">
      <c r="B36" s="250"/>
      <c r="C36" s="238"/>
      <c r="D36" s="238"/>
      <c r="E36" s="238"/>
      <c r="F36" s="238"/>
      <c r="G36" s="238"/>
      <c r="H36" s="214"/>
      <c r="I36" s="214"/>
      <c r="J36" s="214"/>
      <c r="Q36" s="477"/>
      <c r="R36" s="214"/>
      <c r="S36" s="214"/>
      <c r="T36" s="214"/>
      <c r="U36" s="214"/>
      <c r="V36" s="214"/>
      <c r="W36" s="214"/>
      <c r="X36" s="214"/>
      <c r="Y36" s="214"/>
      <c r="Z36" s="214"/>
      <c r="AG36" s="213"/>
    </row>
    <row r="37" spans="2:33" ht="12.75" customHeight="1" x14ac:dyDescent="0.3">
      <c r="AG37" s="213"/>
    </row>
    <row r="38" spans="2:33" x14ac:dyDescent="0.3">
      <c r="B38" s="1276" t="s">
        <v>450</v>
      </c>
      <c r="C38" s="1276"/>
      <c r="D38" s="1276"/>
      <c r="E38" s="1276"/>
      <c r="F38" s="1276"/>
      <c r="G38" s="1276"/>
      <c r="H38" s="1276"/>
      <c r="I38" s="1276"/>
      <c r="J38" s="1276"/>
      <c r="K38" s="1276"/>
      <c r="L38" s="1276"/>
      <c r="M38" s="1276"/>
      <c r="N38" s="1276"/>
      <c r="O38" s="1276"/>
      <c r="P38" s="1276"/>
      <c r="Q38" s="1276"/>
      <c r="R38" s="1276"/>
      <c r="S38" s="1276"/>
      <c r="T38" s="1276"/>
      <c r="U38" s="1276"/>
      <c r="V38" s="1276"/>
      <c r="W38" s="1276"/>
      <c r="X38" s="1276"/>
      <c r="Y38" s="1276"/>
      <c r="Z38" s="1276"/>
      <c r="AA38" s="1276"/>
      <c r="AB38" s="1276"/>
      <c r="AC38" s="1276"/>
      <c r="AG38" s="213"/>
    </row>
    <row r="39" spans="2:33" ht="9" customHeight="1" x14ac:dyDescent="0.3">
      <c r="B39" s="1276"/>
      <c r="C39" s="1276"/>
      <c r="D39" s="1276"/>
      <c r="E39" s="1276"/>
      <c r="F39" s="1276"/>
      <c r="G39" s="1276"/>
      <c r="H39" s="1276"/>
      <c r="I39" s="1276"/>
      <c r="J39" s="1276"/>
      <c r="K39" s="1276"/>
      <c r="L39" s="1276"/>
      <c r="M39" s="1276"/>
      <c r="N39" s="1276"/>
      <c r="O39" s="1276"/>
      <c r="P39" s="1276"/>
      <c r="Q39" s="1276"/>
      <c r="R39" s="1276"/>
      <c r="S39" s="1276"/>
      <c r="T39" s="1276"/>
      <c r="U39" s="1276"/>
      <c r="V39" s="1276"/>
      <c r="W39" s="1276"/>
      <c r="X39" s="1276"/>
      <c r="Y39" s="1276"/>
      <c r="Z39" s="1276"/>
      <c r="AA39" s="1276"/>
      <c r="AB39" s="1276"/>
      <c r="AC39" s="1276"/>
      <c r="AG39" s="213"/>
    </row>
    <row r="40" spans="2:33" ht="14.25" customHeight="1" x14ac:dyDescent="0.3">
      <c r="B40" s="1338" t="s">
        <v>451</v>
      </c>
      <c r="C40" s="1338"/>
      <c r="D40" s="1338"/>
      <c r="E40" s="1338"/>
      <c r="F40" s="1338"/>
      <c r="G40" s="1338"/>
      <c r="H40" s="1338"/>
      <c r="I40" s="1338"/>
      <c r="J40" s="1338"/>
      <c r="K40" s="1338"/>
      <c r="L40" s="1338"/>
      <c r="M40" s="1338"/>
      <c r="N40" s="1338"/>
      <c r="O40" s="1338"/>
      <c r="P40" s="1338"/>
      <c r="Q40" s="1338"/>
      <c r="R40" s="1338"/>
      <c r="S40" s="1338"/>
      <c r="T40" s="1338"/>
      <c r="U40" s="1338"/>
      <c r="V40" s="1338"/>
      <c r="W40" s="1338"/>
      <c r="X40" s="1338"/>
      <c r="Y40" s="1338"/>
      <c r="Z40" s="1338"/>
      <c r="AA40" s="1338"/>
      <c r="AB40" s="1338"/>
      <c r="AC40" s="1338"/>
      <c r="AG40" s="213"/>
    </row>
    <row r="41" spans="2:33" x14ac:dyDescent="0.3">
      <c r="B41" s="1338"/>
      <c r="C41" s="1338"/>
      <c r="D41" s="1338"/>
      <c r="E41" s="1338"/>
      <c r="F41" s="1338"/>
      <c r="G41" s="1338"/>
      <c r="H41" s="1338"/>
      <c r="I41" s="1338"/>
      <c r="J41" s="1338"/>
      <c r="K41" s="1338"/>
      <c r="L41" s="1338"/>
      <c r="M41" s="1338"/>
      <c r="N41" s="1338"/>
      <c r="O41" s="1338"/>
      <c r="P41" s="1338"/>
      <c r="Q41" s="1338"/>
      <c r="R41" s="1338"/>
      <c r="S41" s="1338"/>
      <c r="T41" s="1338"/>
      <c r="U41" s="1338"/>
      <c r="V41" s="1338"/>
      <c r="W41" s="1338"/>
      <c r="X41" s="1338"/>
      <c r="Y41" s="1338"/>
      <c r="Z41" s="1338"/>
      <c r="AA41" s="1338"/>
      <c r="AB41" s="1338"/>
      <c r="AC41" s="1338"/>
      <c r="AG41" s="213"/>
    </row>
    <row r="42" spans="2:33" ht="8.85" customHeight="1" x14ac:dyDescent="0.3">
      <c r="B42" s="1338"/>
      <c r="C42" s="1338"/>
      <c r="D42" s="1338"/>
      <c r="E42" s="1338"/>
      <c r="F42" s="1338"/>
      <c r="G42" s="1338"/>
      <c r="H42" s="1338"/>
      <c r="I42" s="1338"/>
      <c r="J42" s="1338"/>
      <c r="K42" s="1338"/>
      <c r="L42" s="1338"/>
      <c r="M42" s="1338"/>
      <c r="N42" s="1338"/>
      <c r="O42" s="1338"/>
      <c r="P42" s="1338"/>
      <c r="Q42" s="1338"/>
      <c r="R42" s="1338"/>
      <c r="S42" s="1338"/>
      <c r="T42" s="1338"/>
      <c r="U42" s="1338"/>
      <c r="V42" s="1338"/>
      <c r="W42" s="1338"/>
      <c r="X42" s="1338"/>
      <c r="Y42" s="1338"/>
      <c r="Z42" s="1338"/>
      <c r="AA42" s="1338"/>
      <c r="AB42" s="1338"/>
      <c r="AC42" s="1338"/>
      <c r="AG42" s="213"/>
    </row>
    <row r="43" spans="2:33" ht="12.75" customHeight="1" x14ac:dyDescent="0.3">
      <c r="AG43" s="213"/>
    </row>
    <row r="44" spans="2:33" ht="30.75" customHeight="1" x14ac:dyDescent="0.3">
      <c r="B44" s="1280" t="s">
        <v>324</v>
      </c>
      <c r="C44" s="1339"/>
      <c r="D44" s="1290" t="s">
        <v>325</v>
      </c>
      <c r="E44" s="1291"/>
      <c r="F44" s="1291"/>
      <c r="G44" s="1291"/>
      <c r="H44" s="1291"/>
      <c r="I44" s="1291"/>
      <c r="J44" s="1291"/>
      <c r="K44" s="1291"/>
      <c r="L44" s="1291"/>
      <c r="M44" s="1291"/>
      <c r="N44" s="1291"/>
      <c r="O44" s="1291"/>
      <c r="P44" s="1291"/>
      <c r="Q44" s="1316"/>
      <c r="R44" s="1316"/>
      <c r="S44" s="1316"/>
      <c r="T44" s="1281"/>
      <c r="U44" s="1294" t="s">
        <v>326</v>
      </c>
      <c r="V44" s="1294"/>
      <c r="W44" s="1294"/>
      <c r="X44" s="1294"/>
      <c r="Y44" s="1294"/>
      <c r="Z44" s="1294"/>
      <c r="AA44" s="1294"/>
      <c r="AB44" s="1294"/>
      <c r="AC44" s="1295"/>
      <c r="AG44" s="213"/>
    </row>
    <row r="45" spans="2:33" x14ac:dyDescent="0.3">
      <c r="B45" s="1282"/>
      <c r="C45" s="1340"/>
      <c r="D45" s="157">
        <v>2018</v>
      </c>
      <c r="E45" s="1273">
        <v>2019</v>
      </c>
      <c r="F45" s="1278"/>
      <c r="G45" s="1278"/>
      <c r="H45" s="1279"/>
      <c r="I45" s="1273">
        <v>2020</v>
      </c>
      <c r="J45" s="1278"/>
      <c r="K45" s="1278"/>
      <c r="L45" s="1278"/>
      <c r="M45" s="1273">
        <v>2021</v>
      </c>
      <c r="N45" s="1278"/>
      <c r="O45" s="1278"/>
      <c r="P45" s="1278"/>
      <c r="Q45" s="1273">
        <v>2022</v>
      </c>
      <c r="R45" s="1274"/>
      <c r="S45" s="1274"/>
      <c r="T45" s="1279"/>
      <c r="U45" s="1284">
        <v>2023</v>
      </c>
      <c r="V45" s="1285"/>
      <c r="W45" s="1285"/>
      <c r="X45" s="1285"/>
      <c r="Y45" s="1287">
        <v>2024</v>
      </c>
      <c r="Z45" s="1285"/>
      <c r="AA45" s="1285"/>
      <c r="AB45" s="1286"/>
      <c r="AC45" s="233">
        <v>2025</v>
      </c>
      <c r="AG45" s="213"/>
    </row>
    <row r="46" spans="2:33" x14ac:dyDescent="0.3">
      <c r="B46" s="1296"/>
      <c r="C46" s="1341"/>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80" t="s">
        <v>328</v>
      </c>
      <c r="V46" s="280" t="s">
        <v>329</v>
      </c>
      <c r="W46" s="280" t="s">
        <v>238</v>
      </c>
      <c r="X46" s="280" t="s">
        <v>327</v>
      </c>
      <c r="Y46" s="348" t="s">
        <v>328</v>
      </c>
      <c r="Z46" s="228" t="s">
        <v>329</v>
      </c>
      <c r="AA46" s="280" t="s">
        <v>238</v>
      </c>
      <c r="AB46" s="278" t="s">
        <v>327</v>
      </c>
      <c r="AC46" s="373" t="s">
        <v>328</v>
      </c>
      <c r="AG46" s="213"/>
    </row>
    <row r="47" spans="2:33" x14ac:dyDescent="0.3">
      <c r="B47" s="471" t="s">
        <v>134</v>
      </c>
      <c r="C47" s="251"/>
      <c r="D47" s="237"/>
      <c r="E47" s="454"/>
      <c r="F47" s="454"/>
      <c r="G47" s="454"/>
      <c r="H47" s="419">
        <f>Grants!H99</f>
        <v>72.367000000000004</v>
      </c>
      <c r="I47" s="419">
        <f>Grants!I99</f>
        <v>75.578999999999994</v>
      </c>
      <c r="J47" s="419">
        <f>Grants!J99</f>
        <v>76.015000000000001</v>
      </c>
      <c r="K47" s="419">
        <f>Grants!K99</f>
        <v>78.872</v>
      </c>
      <c r="L47" s="419">
        <f>Grants!L99</f>
        <v>75.819000000000003</v>
      </c>
      <c r="M47" s="419">
        <f>Grants!M99</f>
        <v>73.662000000000006</v>
      </c>
      <c r="N47" s="419">
        <f>Grants!N99</f>
        <v>75.066000000000003</v>
      </c>
      <c r="O47" s="419">
        <f>Grants!O99</f>
        <v>69.344999999999999</v>
      </c>
      <c r="P47" s="419">
        <f>Grants!P99</f>
        <v>72.477000000000004</v>
      </c>
      <c r="Q47" s="419">
        <f>Grants!Q99</f>
        <v>72.528999999999996</v>
      </c>
      <c r="R47" s="419">
        <f>Grants!R99</f>
        <v>75.340000000000018</v>
      </c>
      <c r="S47" s="455">
        <f>Grants!S99</f>
        <v>75.340000000000018</v>
      </c>
      <c r="T47" s="456">
        <f>Grants!T99</f>
        <v>76.15900000000002</v>
      </c>
      <c r="U47" s="468">
        <f>Grants!U99</f>
        <v>76.15900000000002</v>
      </c>
      <c r="V47" s="468">
        <f>Grants!V99</f>
        <v>76.15900000000002</v>
      </c>
      <c r="W47" s="468">
        <f>Grants!W99</f>
        <v>76.15900000000002</v>
      </c>
      <c r="X47" s="468">
        <f>Grants!X99</f>
        <v>77.818000000000012</v>
      </c>
      <c r="Y47" s="468">
        <f>Grants!Y99</f>
        <v>77.818000000000012</v>
      </c>
      <c r="Z47" s="468">
        <f>Grants!Z99</f>
        <v>77.818000000000012</v>
      </c>
      <c r="AA47" s="468">
        <f>Grants!AA99</f>
        <v>77.818000000000012</v>
      </c>
      <c r="AB47" s="468">
        <f>Grants!AB99</f>
        <v>79.41200000000002</v>
      </c>
      <c r="AC47" s="430">
        <f>Grants!AC99</f>
        <v>79.41200000000002</v>
      </c>
    </row>
    <row r="48" spans="2:33" x14ac:dyDescent="0.3">
      <c r="B48" s="450" t="s">
        <v>192</v>
      </c>
      <c r="C48" s="420"/>
      <c r="D48" s="465"/>
      <c r="E48" s="420"/>
      <c r="F48" s="420"/>
      <c r="G48" s="420"/>
      <c r="H48" s="211">
        <f>Grants!H79</f>
        <v>205.80500000000001</v>
      </c>
      <c r="I48" s="211">
        <f>Grants!I79</f>
        <v>210.29200000000003</v>
      </c>
      <c r="J48" s="211">
        <f>Grants!J79</f>
        <v>325.28399999999999</v>
      </c>
      <c r="K48" s="211">
        <f>Grants!K79</f>
        <v>297.32000000000005</v>
      </c>
      <c r="L48" s="211">
        <f>Grants!L79</f>
        <v>289.54199999999997</v>
      </c>
      <c r="M48" s="211">
        <f>Grants!M79</f>
        <v>315.67900000000003</v>
      </c>
      <c r="N48" s="211">
        <f>Grants!N79</f>
        <v>361.52700000000004</v>
      </c>
      <c r="O48" s="211">
        <f>Grants!O79</f>
        <v>374.99100000000004</v>
      </c>
      <c r="P48" s="211">
        <f>Grants!P79</f>
        <v>401.58485200000007</v>
      </c>
      <c r="Q48" s="211">
        <f>Grants!Q79</f>
        <v>438.45827479999997</v>
      </c>
      <c r="R48" s="211">
        <f>Grants!R79</f>
        <v>505.04903199999995</v>
      </c>
      <c r="S48" s="211">
        <f>Grants!S79</f>
        <v>492.38786800000003</v>
      </c>
      <c r="T48" s="457">
        <f>Grants!T79</f>
        <v>418.716928</v>
      </c>
      <c r="U48" s="229">
        <f>Grants!U79</f>
        <v>395.55067787919143</v>
      </c>
      <c r="V48" s="229">
        <f>Grants!V79</f>
        <v>399.37536121583202</v>
      </c>
      <c r="W48" s="229">
        <f>Grants!W79</f>
        <v>397.7223326820897</v>
      </c>
      <c r="X48" s="229">
        <f>Grants!X79</f>
        <v>397.59845066666662</v>
      </c>
      <c r="Y48" s="229">
        <f>Grants!Y79</f>
        <v>385.69919062635915</v>
      </c>
      <c r="Z48" s="229">
        <f>Grants!Z79</f>
        <v>365.34301490446529</v>
      </c>
      <c r="AA48" s="229">
        <f>Grants!AA79</f>
        <v>369.30407374937334</v>
      </c>
      <c r="AB48" s="229">
        <f>Grants!AB79</f>
        <v>373.5511150333333</v>
      </c>
      <c r="AC48" s="239">
        <f>Grants!AC79</f>
        <v>356.21123877141349</v>
      </c>
    </row>
    <row r="49" spans="2:58" x14ac:dyDescent="0.3">
      <c r="B49" s="472" t="s">
        <v>452</v>
      </c>
      <c r="C49" s="452"/>
      <c r="D49" s="451"/>
      <c r="E49" s="452"/>
      <c r="F49" s="452"/>
      <c r="G49" s="452"/>
      <c r="H49" s="427">
        <f>H47+H48</f>
        <v>278.17200000000003</v>
      </c>
      <c r="I49" s="427">
        <f t="shared" ref="I49:AC49" si="8">I47+I48</f>
        <v>285.87100000000004</v>
      </c>
      <c r="J49" s="427">
        <f t="shared" si="8"/>
        <v>401.29899999999998</v>
      </c>
      <c r="K49" s="427">
        <f t="shared" si="8"/>
        <v>376.19200000000006</v>
      </c>
      <c r="L49" s="427">
        <f t="shared" si="8"/>
        <v>365.36099999999999</v>
      </c>
      <c r="M49" s="427">
        <f t="shared" si="8"/>
        <v>389.34100000000001</v>
      </c>
      <c r="N49" s="427">
        <f t="shared" si="8"/>
        <v>436.59300000000007</v>
      </c>
      <c r="O49" s="427">
        <f t="shared" si="8"/>
        <v>444.33600000000001</v>
      </c>
      <c r="P49" s="427">
        <f t="shared" si="8"/>
        <v>474.06185200000004</v>
      </c>
      <c r="Q49" s="427">
        <f t="shared" si="8"/>
        <v>510.98727479999997</v>
      </c>
      <c r="R49" s="427">
        <f t="shared" si="8"/>
        <v>580.38903199999993</v>
      </c>
      <c r="S49" s="427">
        <f t="shared" si="8"/>
        <v>567.72786800000006</v>
      </c>
      <c r="T49" s="458">
        <f t="shared" si="8"/>
        <v>494.87592800000004</v>
      </c>
      <c r="U49" s="425">
        <f t="shared" si="8"/>
        <v>471.70967787919142</v>
      </c>
      <c r="V49" s="425">
        <f t="shared" si="8"/>
        <v>475.53436121583206</v>
      </c>
      <c r="W49" s="425">
        <f t="shared" si="8"/>
        <v>473.88133268208969</v>
      </c>
      <c r="X49" s="425">
        <f t="shared" si="8"/>
        <v>475.41645066666661</v>
      </c>
      <c r="Y49" s="425">
        <f t="shared" si="8"/>
        <v>463.51719062635914</v>
      </c>
      <c r="Z49" s="425">
        <f t="shared" si="8"/>
        <v>443.16101490446533</v>
      </c>
      <c r="AA49" s="425">
        <f t="shared" si="8"/>
        <v>447.12207374937338</v>
      </c>
      <c r="AB49" s="425">
        <f t="shared" si="8"/>
        <v>452.96311503333334</v>
      </c>
      <c r="AC49" s="426">
        <f t="shared" si="8"/>
        <v>435.62323877141353</v>
      </c>
    </row>
    <row r="53" spans="2:58" ht="27.6" customHeight="1" x14ac:dyDescent="0.3"/>
    <row r="54" spans="2:58" ht="27.6" customHeight="1" x14ac:dyDescent="0.3"/>
    <row r="55" spans="2:58" x14ac:dyDescent="0.3">
      <c r="S55" s="92"/>
      <c r="T55" s="92"/>
      <c r="U55" s="92"/>
      <c r="V55" s="92"/>
      <c r="W55" s="92"/>
      <c r="X55" s="92"/>
      <c r="Y55" s="92"/>
      <c r="Z55" s="92"/>
      <c r="AA55" s="92"/>
      <c r="AB55" s="92"/>
      <c r="AC55" s="92"/>
    </row>
    <row r="56" spans="2:58" x14ac:dyDescent="0.3">
      <c r="S56" s="92"/>
      <c r="T56" s="92"/>
      <c r="U56" s="92"/>
      <c r="V56" s="92"/>
      <c r="W56" s="92"/>
      <c r="X56" s="92"/>
      <c r="Y56" s="92"/>
      <c r="Z56" s="92"/>
      <c r="AA56" s="92"/>
      <c r="AB56" s="92"/>
      <c r="AC56" s="92"/>
    </row>
    <row r="57" spans="2:58" ht="27.6" customHeight="1" x14ac:dyDescent="0.3">
      <c r="S57" s="92"/>
      <c r="T57" s="92"/>
      <c r="U57" s="92"/>
      <c r="V57" s="92"/>
      <c r="W57" s="92"/>
      <c r="X57" s="92"/>
      <c r="Y57" s="92"/>
      <c r="Z57" s="92"/>
      <c r="AA57" s="92"/>
      <c r="AB57" s="92"/>
      <c r="AC57" s="92"/>
    </row>
    <row r="58" spans="2:58" ht="27.6" customHeight="1" x14ac:dyDescent="0.3"/>
    <row r="59" spans="2:58" ht="27.6" customHeight="1" x14ac:dyDescent="0.3">
      <c r="BD59" s="421"/>
      <c r="BE59" s="421"/>
      <c r="BF59" s="421"/>
    </row>
    <row r="61" spans="2:58" ht="27.6" customHeight="1" x14ac:dyDescent="0.3"/>
    <row r="62" spans="2:58" ht="27.6" customHeight="1" x14ac:dyDescent="0.3"/>
    <row r="63" spans="2:58" ht="27.6" customHeight="1" x14ac:dyDescent="0.3"/>
  </sheetData>
  <mergeCells count="33">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zoomScaleNormal="100" workbookViewId="0">
      <selection activeCell="E19" sqref="E19"/>
    </sheetView>
  </sheetViews>
  <sheetFormatPr defaultColWidth="10.77734375" defaultRowHeight="14.4" x14ac:dyDescent="0.3"/>
  <cols>
    <col min="2" max="2" width="49.44140625" customWidth="1"/>
    <col min="6" max="25" width="6.44140625" customWidth="1"/>
    <col min="27" max="27" width="10.21875" customWidth="1"/>
  </cols>
  <sheetData>
    <row r="1" spans="2:32" x14ac:dyDescent="0.3">
      <c r="B1" s="1276" t="s">
        <v>52</v>
      </c>
      <c r="C1" s="1276"/>
      <c r="D1" s="1276"/>
      <c r="E1" s="1276"/>
      <c r="F1" s="1276"/>
      <c r="G1" s="1276"/>
      <c r="H1" s="1276"/>
      <c r="I1" s="1276"/>
      <c r="J1" s="1276"/>
      <c r="K1" s="1276"/>
      <c r="L1" s="1276"/>
      <c r="M1" s="1276"/>
      <c r="N1" s="1276"/>
      <c r="O1" s="1276"/>
      <c r="P1" s="1276"/>
      <c r="Q1" s="1276"/>
      <c r="R1" s="1276"/>
      <c r="S1" s="1276"/>
      <c r="T1" s="1276"/>
      <c r="U1" s="1276"/>
      <c r="V1" s="1276"/>
      <c r="W1" s="1276"/>
      <c r="X1" s="1276"/>
      <c r="Y1" s="1276"/>
      <c r="Z1" s="1276"/>
      <c r="AA1" s="1276"/>
      <c r="AB1" s="1276"/>
      <c r="AC1" s="1276"/>
    </row>
    <row r="2" spans="2:32" ht="14.85" customHeight="1" x14ac:dyDescent="0.3">
      <c r="B2" s="1277" t="s">
        <v>916</v>
      </c>
      <c r="C2" s="1277"/>
      <c r="D2" s="1277"/>
      <c r="E2" s="1277"/>
      <c r="F2" s="1277"/>
      <c r="G2" s="1277"/>
      <c r="H2" s="1277"/>
      <c r="I2" s="1277"/>
      <c r="J2" s="1277"/>
      <c r="K2" s="1277"/>
      <c r="L2" s="1277"/>
      <c r="M2" s="1277"/>
      <c r="N2" s="1277"/>
      <c r="O2" s="1277"/>
      <c r="P2" s="1277"/>
      <c r="Q2" s="1277"/>
      <c r="R2" s="1277"/>
      <c r="S2" s="1277"/>
      <c r="T2" s="1277"/>
      <c r="U2" s="1277"/>
      <c r="V2" s="1277"/>
      <c r="W2" s="1277"/>
      <c r="X2" s="1277"/>
      <c r="Y2" s="1277"/>
      <c r="Z2" s="1277"/>
      <c r="AA2" s="1277"/>
      <c r="AB2" s="1277"/>
      <c r="AC2" s="1277"/>
    </row>
    <row r="3" spans="2:32" ht="14.85" customHeight="1" x14ac:dyDescent="0.3">
      <c r="B3" s="1277"/>
      <c r="C3" s="1277"/>
      <c r="D3" s="1277"/>
      <c r="E3" s="1277"/>
      <c r="F3" s="1277"/>
      <c r="G3" s="1277"/>
      <c r="H3" s="1277"/>
      <c r="I3" s="1277"/>
      <c r="J3" s="1277"/>
      <c r="K3" s="1277"/>
      <c r="L3" s="1277"/>
      <c r="M3" s="1277"/>
      <c r="N3" s="1277"/>
      <c r="O3" s="1277"/>
      <c r="P3" s="1277"/>
      <c r="Q3" s="1277"/>
      <c r="R3" s="1277"/>
      <c r="S3" s="1277"/>
      <c r="T3" s="1277"/>
      <c r="U3" s="1277"/>
      <c r="V3" s="1277"/>
      <c r="W3" s="1277"/>
      <c r="X3" s="1277"/>
      <c r="Y3" s="1277"/>
      <c r="Z3" s="1277"/>
      <c r="AA3" s="1277"/>
      <c r="AB3" s="1277"/>
      <c r="AC3" s="1277"/>
    </row>
    <row r="4" spans="2:32" ht="5.85" customHeight="1" x14ac:dyDescent="0.3">
      <c r="B4" s="1277"/>
      <c r="C4" s="1277"/>
      <c r="D4" s="1277"/>
      <c r="E4" s="1277"/>
      <c r="F4" s="1277"/>
      <c r="G4" s="1277"/>
      <c r="H4" s="1277"/>
      <c r="I4" s="1277"/>
      <c r="J4" s="1277"/>
      <c r="K4" s="1277"/>
      <c r="L4" s="1277"/>
      <c r="M4" s="1277"/>
      <c r="N4" s="1277"/>
      <c r="O4" s="1277"/>
      <c r="P4" s="1277"/>
      <c r="Q4" s="1277"/>
      <c r="R4" s="1277"/>
      <c r="S4" s="1277"/>
      <c r="T4" s="1277"/>
      <c r="U4" s="1277"/>
      <c r="V4" s="1277"/>
      <c r="W4" s="1277"/>
      <c r="X4" s="1277"/>
      <c r="Y4" s="1277"/>
      <c r="Z4" s="1277"/>
      <c r="AA4" s="1277"/>
      <c r="AB4" s="1277"/>
      <c r="AC4" s="1277"/>
    </row>
    <row r="5" spans="2:32" ht="1.5" customHeight="1" x14ac:dyDescent="0.3">
      <c r="B5" s="1277"/>
      <c r="C5" s="1277"/>
      <c r="D5" s="1277"/>
      <c r="E5" s="1277"/>
      <c r="F5" s="1277"/>
      <c r="G5" s="1277"/>
      <c r="H5" s="1277"/>
      <c r="I5" s="1277"/>
      <c r="J5" s="1277"/>
      <c r="K5" s="1277"/>
      <c r="L5" s="1277"/>
      <c r="M5" s="1277"/>
      <c r="N5" s="1277"/>
      <c r="O5" s="1277"/>
      <c r="P5" s="1277"/>
      <c r="Q5" s="1277"/>
      <c r="R5" s="1277"/>
      <c r="S5" s="1277"/>
      <c r="T5" s="1277"/>
      <c r="U5" s="1277"/>
      <c r="V5" s="1277"/>
      <c r="W5" s="1277"/>
      <c r="X5" s="1277"/>
      <c r="Y5" s="1277"/>
      <c r="Z5" s="1277"/>
      <c r="AA5" s="1277"/>
      <c r="AB5" s="1277"/>
      <c r="AC5" s="1277"/>
    </row>
    <row r="6" spans="2:32" ht="14.85" customHeight="1" x14ac:dyDescent="0.3">
      <c r="B6" s="1277"/>
      <c r="C6" s="1277"/>
      <c r="D6" s="1277"/>
      <c r="E6" s="1277"/>
      <c r="F6" s="1277"/>
      <c r="G6" s="1277"/>
      <c r="H6" s="1277"/>
      <c r="I6" s="1277"/>
      <c r="J6" s="1277"/>
      <c r="K6" s="1277"/>
      <c r="L6" s="1277"/>
      <c r="M6" s="1277"/>
      <c r="N6" s="1277"/>
      <c r="O6" s="1277"/>
      <c r="P6" s="1277"/>
      <c r="Q6" s="1277"/>
      <c r="R6" s="1277"/>
      <c r="S6" s="1277"/>
      <c r="T6" s="1277"/>
      <c r="U6" s="1277"/>
      <c r="V6" s="1277"/>
      <c r="W6" s="1277"/>
      <c r="X6" s="1277"/>
      <c r="Y6" s="1277"/>
      <c r="Z6" s="1277"/>
      <c r="AA6" s="1277"/>
      <c r="AB6" s="1277"/>
      <c r="AC6" s="1277"/>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280" t="s">
        <v>453</v>
      </c>
      <c r="C8" s="1281"/>
      <c r="D8" s="1290" t="s">
        <v>325</v>
      </c>
      <c r="E8" s="1291"/>
      <c r="F8" s="1291"/>
      <c r="G8" s="1291"/>
      <c r="H8" s="1291"/>
      <c r="I8" s="1291"/>
      <c r="J8" s="1291"/>
      <c r="K8" s="1291"/>
      <c r="L8" s="1291"/>
      <c r="M8" s="1291"/>
      <c r="N8" s="1291"/>
      <c r="O8" s="1291"/>
      <c r="P8" s="1291"/>
      <c r="Q8" s="1291"/>
      <c r="R8" s="1291"/>
      <c r="S8" s="1291"/>
      <c r="T8" s="1292"/>
      <c r="U8" s="1294" t="s">
        <v>326</v>
      </c>
      <c r="V8" s="1294"/>
      <c r="W8" s="1294"/>
      <c r="X8" s="1294"/>
      <c r="Y8" s="1294"/>
      <c r="Z8" s="1294"/>
      <c r="AA8" s="1294"/>
      <c r="AB8" s="1294"/>
      <c r="AC8" s="1295"/>
    </row>
    <row r="9" spans="2:32" x14ac:dyDescent="0.3">
      <c r="B9" s="1282"/>
      <c r="C9" s="1283"/>
      <c r="D9" s="163">
        <v>2018</v>
      </c>
      <c r="E9" s="1298">
        <v>2019</v>
      </c>
      <c r="F9" s="1299"/>
      <c r="G9" s="1299"/>
      <c r="H9" s="1306"/>
      <c r="I9" s="1298">
        <v>2020</v>
      </c>
      <c r="J9" s="1299"/>
      <c r="K9" s="1299"/>
      <c r="L9" s="1299"/>
      <c r="M9" s="1298">
        <v>2021</v>
      </c>
      <c r="N9" s="1299"/>
      <c r="O9" s="1299"/>
      <c r="P9" s="1299"/>
      <c r="Q9" s="1273">
        <v>2022</v>
      </c>
      <c r="R9" s="1274"/>
      <c r="S9" s="1274"/>
      <c r="T9" s="1279"/>
      <c r="U9" s="1284">
        <v>2023</v>
      </c>
      <c r="V9" s="1285"/>
      <c r="W9" s="1285"/>
      <c r="X9" s="1285"/>
      <c r="Y9" s="1287">
        <v>2024</v>
      </c>
      <c r="Z9" s="1285"/>
      <c r="AA9" s="1285"/>
      <c r="AB9" s="1286"/>
      <c r="AC9" s="233">
        <v>2025</v>
      </c>
    </row>
    <row r="10" spans="2:32" x14ac:dyDescent="0.3">
      <c r="B10" s="1296"/>
      <c r="C10" s="1297"/>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0" t="s">
        <v>328</v>
      </c>
      <c r="V10" s="280" t="s">
        <v>329</v>
      </c>
      <c r="W10" s="280" t="s">
        <v>238</v>
      </c>
      <c r="X10" s="280" t="s">
        <v>327</v>
      </c>
      <c r="Y10" s="348" t="s">
        <v>328</v>
      </c>
      <c r="Z10" s="228" t="s">
        <v>329</v>
      </c>
      <c r="AA10" s="280" t="s">
        <v>238</v>
      </c>
      <c r="AB10" s="278" t="s">
        <v>327</v>
      </c>
      <c r="AC10" s="373" t="s">
        <v>328</v>
      </c>
    </row>
    <row r="11" spans="2:32" x14ac:dyDescent="0.3">
      <c r="B11" s="493" t="s">
        <v>922</v>
      </c>
      <c r="C11" s="69" t="s">
        <v>572</v>
      </c>
      <c r="D11" s="479"/>
      <c r="E11" s="500"/>
      <c r="F11" s="507">
        <v>60.5</v>
      </c>
      <c r="G11" s="507">
        <v>81.400000000000006</v>
      </c>
      <c r="H11" s="507">
        <f>'Haver Pivoted'!GS42</f>
        <v>82.1</v>
      </c>
      <c r="I11" s="507">
        <f>'Haver Pivoted'!GT42</f>
        <v>80</v>
      </c>
      <c r="J11" s="507">
        <f>'Haver Pivoted'!GU42</f>
        <v>975.7</v>
      </c>
      <c r="K11" s="507">
        <f>'Haver Pivoted'!GV42</f>
        <v>1108.8</v>
      </c>
      <c r="L11" s="507">
        <f>'Haver Pivoted'!GW42</f>
        <v>462.2</v>
      </c>
      <c r="M11" s="507">
        <f>'Haver Pivoted'!GX42</f>
        <v>387.4</v>
      </c>
      <c r="N11" s="507">
        <f>'Haver Pivoted'!GY42</f>
        <v>693.9</v>
      </c>
      <c r="O11" s="507">
        <f>'Haver Pivoted'!GZ42</f>
        <v>545.6</v>
      </c>
      <c r="P11" s="507">
        <f>'Haver Pivoted'!HA42</f>
        <v>288.3</v>
      </c>
      <c r="Q11" s="507">
        <f>'Haver Pivoted'!HB42</f>
        <v>144.5</v>
      </c>
      <c r="R11" s="507">
        <f>'Haver Pivoted'!HC42</f>
        <v>122.9</v>
      </c>
      <c r="S11" s="508">
        <f>'Haver Pivoted'!HD42</f>
        <v>113.8</v>
      </c>
      <c r="T11" s="509">
        <f>'Haver Pivoted'!HE42</f>
        <v>110.8</v>
      </c>
      <c r="U11" s="526">
        <f t="shared" ref="U11:AC11" si="0">U12+U13</f>
        <v>96.021999999999991</v>
      </c>
      <c r="V11" s="526">
        <f t="shared" si="0"/>
        <v>88.50800000000001</v>
      </c>
      <c r="W11" s="526">
        <f t="shared" si="0"/>
        <v>88.50800000000001</v>
      </c>
      <c r="X11" s="526">
        <f t="shared" si="0"/>
        <v>85.631</v>
      </c>
      <c r="Y11" s="526">
        <f t="shared" si="0"/>
        <v>85.631</v>
      </c>
      <c r="Z11" s="526">
        <f t="shared" si="0"/>
        <v>85.631</v>
      </c>
      <c r="AA11" s="526">
        <f t="shared" si="0"/>
        <v>85.631</v>
      </c>
      <c r="AB11" s="526">
        <f t="shared" si="0"/>
        <v>90.463999999999999</v>
      </c>
      <c r="AC11" s="521">
        <f t="shared" si="0"/>
        <v>90.463999999999999</v>
      </c>
      <c r="AE11" s="179"/>
      <c r="AF11" s="179"/>
    </row>
    <row r="12" spans="2:32" ht="16.5" customHeight="1" x14ac:dyDescent="0.3">
      <c r="B12" s="388" t="s">
        <v>454</v>
      </c>
      <c r="C12" s="69"/>
      <c r="D12" s="49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1">
        <f t="shared" si="2"/>
        <v>71.099999999999994</v>
      </c>
      <c r="T12" s="306">
        <f t="shared" si="2"/>
        <v>78.977999999999994</v>
      </c>
      <c r="U12" s="311">
        <f t="shared" ref="U12:AC12" si="3">AVERAGE($F$11:$I$11)</f>
        <v>76</v>
      </c>
      <c r="V12" s="311">
        <f t="shared" si="3"/>
        <v>76</v>
      </c>
      <c r="W12" s="311">
        <f t="shared" si="3"/>
        <v>76</v>
      </c>
      <c r="X12" s="311">
        <f t="shared" si="3"/>
        <v>76</v>
      </c>
      <c r="Y12" s="311">
        <f t="shared" si="3"/>
        <v>76</v>
      </c>
      <c r="Z12" s="311">
        <f t="shared" si="3"/>
        <v>76</v>
      </c>
      <c r="AA12" s="311">
        <f t="shared" si="3"/>
        <v>76</v>
      </c>
      <c r="AB12" s="311">
        <f t="shared" si="3"/>
        <v>76</v>
      </c>
      <c r="AC12" s="376">
        <f t="shared" si="3"/>
        <v>76</v>
      </c>
      <c r="AE12" s="179"/>
      <c r="AF12" s="179"/>
    </row>
    <row r="13" spans="2:32" x14ac:dyDescent="0.3">
      <c r="B13" s="387" t="s">
        <v>455</v>
      </c>
      <c r="C13" s="69"/>
      <c r="D13" s="493"/>
      <c r="E13" s="69"/>
      <c r="F13" s="505"/>
      <c r="G13" s="505"/>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83">
        <f t="shared" ref="T13:AC13" si="5">SUM(T16:T27)+T14</f>
        <v>31.822000000000003</v>
      </c>
      <c r="U13" s="311">
        <f t="shared" si="5"/>
        <v>20.021999999999998</v>
      </c>
      <c r="V13" s="311">
        <f t="shared" si="5"/>
        <v>12.508000000000003</v>
      </c>
      <c r="W13" s="311">
        <f t="shared" si="5"/>
        <v>12.508000000000003</v>
      </c>
      <c r="X13" s="311">
        <f t="shared" si="5"/>
        <v>9.6310000000000002</v>
      </c>
      <c r="Y13" s="311">
        <f t="shared" si="5"/>
        <v>9.6310000000000002</v>
      </c>
      <c r="Z13" s="311">
        <f t="shared" si="5"/>
        <v>9.6310000000000002</v>
      </c>
      <c r="AA13" s="311">
        <f t="shared" si="5"/>
        <v>9.6310000000000002</v>
      </c>
      <c r="AB13" s="311">
        <f t="shared" si="5"/>
        <v>14.464</v>
      </c>
      <c r="AC13" s="376">
        <f t="shared" si="5"/>
        <v>14.464</v>
      </c>
      <c r="AE13" s="179"/>
      <c r="AF13" s="179"/>
    </row>
    <row r="14" spans="2:32" x14ac:dyDescent="0.3">
      <c r="B14" s="277" t="s">
        <v>50</v>
      </c>
      <c r="C14" s="49" t="s">
        <v>376</v>
      </c>
      <c r="D14" s="265"/>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1">
        <f>'Haver Pivoted'!HD49</f>
        <v>0</v>
      </c>
      <c r="T14" s="306">
        <f>'Haver Pivoted'!HE49</f>
        <v>0</v>
      </c>
      <c r="U14" s="311"/>
      <c r="V14" s="311"/>
      <c r="W14" s="311"/>
      <c r="X14" s="311"/>
      <c r="Y14" s="311"/>
      <c r="Z14" s="514"/>
      <c r="AA14" s="514"/>
      <c r="AB14" s="514"/>
      <c r="AC14" s="522"/>
      <c r="AE14" s="179"/>
      <c r="AF14" s="179"/>
    </row>
    <row r="15" spans="2:32" x14ac:dyDescent="0.3">
      <c r="B15" s="387" t="s">
        <v>456</v>
      </c>
      <c r="C15" s="69"/>
      <c r="D15" s="493"/>
      <c r="E15" s="69"/>
      <c r="F15" s="505"/>
      <c r="G15" s="505"/>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10">
        <f t="shared" si="6"/>
        <v>28.200000000000003</v>
      </c>
      <c r="U15" s="515">
        <f t="shared" si="6"/>
        <v>16.399999999999999</v>
      </c>
      <c r="V15" s="515">
        <f t="shared" si="6"/>
        <v>8.886000000000001</v>
      </c>
      <c r="W15" s="515">
        <f t="shared" si="6"/>
        <v>8.886000000000001</v>
      </c>
      <c r="X15" s="515">
        <f t="shared" si="6"/>
        <v>0.2</v>
      </c>
      <c r="Y15" s="515">
        <f t="shared" si="6"/>
        <v>0.2</v>
      </c>
      <c r="Z15" s="515">
        <f t="shared" si="6"/>
        <v>0.2</v>
      </c>
      <c r="AA15" s="515">
        <f t="shared" si="6"/>
        <v>0.2</v>
      </c>
      <c r="AB15" s="515">
        <f t="shared" si="6"/>
        <v>0</v>
      </c>
      <c r="AC15" s="528">
        <f t="shared" si="6"/>
        <v>0</v>
      </c>
      <c r="AE15" s="179"/>
      <c r="AF15" s="179"/>
    </row>
    <row r="16" spans="2:32" x14ac:dyDescent="0.3">
      <c r="B16" s="481" t="s">
        <v>145</v>
      </c>
      <c r="C16" s="52" t="s">
        <v>457</v>
      </c>
      <c r="D16" s="39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1">
        <f>'Haver Pivoted'!HD53</f>
        <v>0</v>
      </c>
      <c r="T16" s="306">
        <f>'Haver Pivoted'!HE53</f>
        <v>0</v>
      </c>
      <c r="U16" s="311"/>
      <c r="V16" s="516"/>
      <c r="W16" s="516"/>
      <c r="X16" s="516"/>
      <c r="Y16" s="516"/>
      <c r="Z16" s="514"/>
      <c r="AA16" s="514"/>
      <c r="AB16" s="514"/>
      <c r="AC16" s="522"/>
      <c r="AE16" s="179"/>
      <c r="AF16" s="179"/>
    </row>
    <row r="17" spans="2:34" x14ac:dyDescent="0.3">
      <c r="B17" s="481" t="s">
        <v>143</v>
      </c>
      <c r="C17" s="52" t="s">
        <v>458</v>
      </c>
      <c r="D17" s="39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1">
        <f>'Haver Pivoted'!HD51</f>
        <v>0</v>
      </c>
      <c r="T17" s="306">
        <f>'Haver Pivoted'!HE51</f>
        <v>0</v>
      </c>
      <c r="U17" s="311">
        <f t="shared" ref="U17:AC17" si="7">T17</f>
        <v>0</v>
      </c>
      <c r="V17" s="311">
        <f t="shared" si="7"/>
        <v>0</v>
      </c>
      <c r="W17" s="311">
        <f t="shared" si="7"/>
        <v>0</v>
      </c>
      <c r="X17" s="311">
        <f t="shared" si="7"/>
        <v>0</v>
      </c>
      <c r="Y17" s="311">
        <f t="shared" si="7"/>
        <v>0</v>
      </c>
      <c r="Z17" s="311">
        <f t="shared" si="7"/>
        <v>0</v>
      </c>
      <c r="AA17" s="311">
        <f t="shared" si="7"/>
        <v>0</v>
      </c>
      <c r="AB17" s="311">
        <f t="shared" si="7"/>
        <v>0</v>
      </c>
      <c r="AC17" s="376">
        <f t="shared" si="7"/>
        <v>0</v>
      </c>
      <c r="AE17" s="179"/>
      <c r="AF17" s="179"/>
    </row>
    <row r="18" spans="2:34" x14ac:dyDescent="0.3">
      <c r="B18" s="481" t="s">
        <v>142</v>
      </c>
      <c r="C18" s="49" t="s">
        <v>459</v>
      </c>
      <c r="D18" s="265"/>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1">
        <f>'Haver Pivoted'!HD50</f>
        <v>0.3</v>
      </c>
      <c r="T18" s="306">
        <f>'Haver Pivoted'!HE50</f>
        <v>0.4</v>
      </c>
      <c r="U18" s="311">
        <f t="shared" ref="U18:AC18" si="8">U30</f>
        <v>0</v>
      </c>
      <c r="V18" s="311">
        <f t="shared" si="8"/>
        <v>0</v>
      </c>
      <c r="W18" s="311">
        <f t="shared" si="8"/>
        <v>0</v>
      </c>
      <c r="X18" s="311">
        <f t="shared" si="8"/>
        <v>0</v>
      </c>
      <c r="Y18" s="311">
        <f t="shared" si="8"/>
        <v>0</v>
      </c>
      <c r="Z18" s="311">
        <f t="shared" si="8"/>
        <v>0</v>
      </c>
      <c r="AA18" s="311">
        <f t="shared" si="8"/>
        <v>0</v>
      </c>
      <c r="AB18" s="311">
        <f t="shared" si="8"/>
        <v>0</v>
      </c>
      <c r="AC18" s="376">
        <f t="shared" si="8"/>
        <v>0</v>
      </c>
      <c r="AE18" s="179"/>
      <c r="AF18" s="179"/>
    </row>
    <row r="19" spans="2:34" x14ac:dyDescent="0.3">
      <c r="B19" s="481" t="s">
        <v>460</v>
      </c>
      <c r="C19" s="49" t="s">
        <v>356</v>
      </c>
      <c r="D19" s="265"/>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1">
        <f>'Haver Pivoted'!HD54</f>
        <v>5.9</v>
      </c>
      <c r="T19" s="306">
        <f>'Haver Pivoted'!HE54</f>
        <v>3.6</v>
      </c>
      <c r="U19" s="311"/>
      <c r="V19" s="311"/>
      <c r="W19" s="311"/>
      <c r="X19" s="311"/>
      <c r="Y19" s="311"/>
      <c r="Z19" s="514"/>
      <c r="AA19" s="514"/>
      <c r="AB19" s="514"/>
      <c r="AC19" s="522"/>
      <c r="AE19" s="179"/>
      <c r="AF19" s="179"/>
    </row>
    <row r="20" spans="2:34" x14ac:dyDescent="0.3">
      <c r="B20" s="481" t="s">
        <v>144</v>
      </c>
      <c r="C20" s="49" t="s">
        <v>461</v>
      </c>
      <c r="D20" s="265"/>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1">
        <f>'Haver Pivoted'!HD52</f>
        <v>20.2</v>
      </c>
      <c r="T20" s="306">
        <f>'Haver Pivoted'!HE52</f>
        <v>15.8</v>
      </c>
      <c r="U20" s="311">
        <v>8</v>
      </c>
      <c r="V20" s="311">
        <f t="shared" ref="V20:AC20" si="9">V37</f>
        <v>0.48599999999999993</v>
      </c>
      <c r="W20" s="311">
        <f t="shared" si="9"/>
        <v>0.48599999999999993</v>
      </c>
      <c r="X20" s="311">
        <f t="shared" si="9"/>
        <v>0</v>
      </c>
      <c r="Y20" s="311">
        <f t="shared" si="9"/>
        <v>0</v>
      </c>
      <c r="Z20" s="311">
        <f t="shared" si="9"/>
        <v>0</v>
      </c>
      <c r="AA20" s="311">
        <f t="shared" si="9"/>
        <v>0</v>
      </c>
      <c r="AB20" s="311">
        <f t="shared" si="9"/>
        <v>0</v>
      </c>
      <c r="AC20" s="376">
        <f t="shared" si="9"/>
        <v>0</v>
      </c>
      <c r="AE20" s="179"/>
      <c r="AF20" s="179"/>
      <c r="AH20" s="179"/>
    </row>
    <row r="21" spans="2:34" x14ac:dyDescent="0.3">
      <c r="B21" s="481" t="s">
        <v>148</v>
      </c>
      <c r="C21" s="49" t="s">
        <v>462</v>
      </c>
      <c r="D21" s="265"/>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1">
        <f>'Haver Pivoted'!HD55</f>
        <v>0</v>
      </c>
      <c r="T21" s="306">
        <f>'Haver Pivoted'!HE55</f>
        <v>0</v>
      </c>
      <c r="U21" s="311">
        <f t="shared" ref="U21:AC21" si="10">T21</f>
        <v>0</v>
      </c>
      <c r="V21" s="311">
        <f t="shared" si="10"/>
        <v>0</v>
      </c>
      <c r="W21" s="311">
        <f t="shared" si="10"/>
        <v>0</v>
      </c>
      <c r="X21" s="311">
        <f t="shared" si="10"/>
        <v>0</v>
      </c>
      <c r="Y21" s="311">
        <f t="shared" si="10"/>
        <v>0</v>
      </c>
      <c r="Z21" s="311">
        <f t="shared" si="10"/>
        <v>0</v>
      </c>
      <c r="AA21" s="311">
        <f t="shared" si="10"/>
        <v>0</v>
      </c>
      <c r="AB21" s="311">
        <f t="shared" si="10"/>
        <v>0</v>
      </c>
      <c r="AC21" s="376">
        <f t="shared" si="10"/>
        <v>0</v>
      </c>
      <c r="AE21" s="179"/>
      <c r="AF21" s="179"/>
    </row>
    <row r="22" spans="2:34" x14ac:dyDescent="0.3">
      <c r="B22" s="481" t="s">
        <v>463</v>
      </c>
      <c r="C22" s="49" t="s">
        <v>840</v>
      </c>
      <c r="D22" s="30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1">
        <f>'Haver Pivoted'!HD87</f>
        <v>0</v>
      </c>
      <c r="T22" s="306">
        <f>'Haver Pivoted'!HE87</f>
        <v>0</v>
      </c>
      <c r="U22" s="311">
        <v>0</v>
      </c>
      <c r="V22" s="311">
        <v>0</v>
      </c>
      <c r="W22" s="311">
        <v>0</v>
      </c>
      <c r="X22" s="311">
        <v>0</v>
      </c>
      <c r="Y22" s="311">
        <v>0</v>
      </c>
      <c r="Z22" s="311">
        <v>0</v>
      </c>
      <c r="AA22" s="311">
        <v>0</v>
      </c>
      <c r="AB22" s="311">
        <v>0</v>
      </c>
      <c r="AC22" s="376">
        <v>0</v>
      </c>
      <c r="AE22" s="179"/>
      <c r="AF22" s="179"/>
    </row>
    <row r="23" spans="2:34" x14ac:dyDescent="0.3">
      <c r="B23" s="481" t="s">
        <v>464</v>
      </c>
      <c r="C23" s="49" t="s">
        <v>839</v>
      </c>
      <c r="D23" s="265"/>
      <c r="E23" s="49"/>
      <c r="F23" s="68"/>
      <c r="G23" s="506"/>
      <c r="H23" s="68"/>
      <c r="I23" s="68"/>
      <c r="J23" s="68"/>
      <c r="K23" s="68"/>
      <c r="L23" s="68"/>
      <c r="M23" s="68"/>
      <c r="N23" s="68">
        <f>'Haver Pivoted'!GY86</f>
        <v>21.4</v>
      </c>
      <c r="O23" s="68">
        <f>'Haver Pivoted'!GZ86</f>
        <v>57</v>
      </c>
      <c r="P23" s="68">
        <f>'Haver Pivoted'!HA86</f>
        <v>35.5</v>
      </c>
      <c r="Q23" s="68">
        <f>'Haver Pivoted'!HB86</f>
        <v>0</v>
      </c>
      <c r="R23" s="68">
        <f>'Haver Pivoted'!HC86</f>
        <v>0</v>
      </c>
      <c r="S23" s="281">
        <f>'Haver Pivoted'!HD86</f>
        <v>0</v>
      </c>
      <c r="T23" s="306">
        <f>'Haver Pivoted'!HE86</f>
        <v>0</v>
      </c>
      <c r="U23" s="311">
        <f t="shared" ref="U23:AC23" si="11">T23</f>
        <v>0</v>
      </c>
      <c r="V23" s="311">
        <f t="shared" si="11"/>
        <v>0</v>
      </c>
      <c r="W23" s="311">
        <f t="shared" si="11"/>
        <v>0</v>
      </c>
      <c r="X23" s="311">
        <f t="shared" si="11"/>
        <v>0</v>
      </c>
      <c r="Y23" s="311">
        <f t="shared" si="11"/>
        <v>0</v>
      </c>
      <c r="Z23" s="311">
        <f t="shared" si="11"/>
        <v>0</v>
      </c>
      <c r="AA23" s="311">
        <f t="shared" si="11"/>
        <v>0</v>
      </c>
      <c r="AB23" s="311">
        <f t="shared" si="11"/>
        <v>0</v>
      </c>
      <c r="AC23" s="376">
        <f t="shared" si="11"/>
        <v>0</v>
      </c>
      <c r="AE23" s="179"/>
      <c r="AF23" s="179"/>
    </row>
    <row r="24" spans="2:34" x14ac:dyDescent="0.3">
      <c r="B24" s="481" t="s">
        <v>465</v>
      </c>
      <c r="C24" s="49"/>
      <c r="D24" s="265"/>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83">
        <f t="shared" si="12"/>
        <v>8.4</v>
      </c>
      <c r="U24" s="311">
        <f t="shared" si="12"/>
        <v>8.4</v>
      </c>
      <c r="V24" s="311">
        <f t="shared" si="12"/>
        <v>8.4</v>
      </c>
      <c r="W24" s="311">
        <f t="shared" si="12"/>
        <v>8.4</v>
      </c>
      <c r="X24" s="311">
        <f t="shared" si="12"/>
        <v>0.2</v>
      </c>
      <c r="Y24" s="311">
        <f t="shared" si="12"/>
        <v>0.2</v>
      </c>
      <c r="Z24" s="311">
        <f t="shared" si="12"/>
        <v>0.2</v>
      </c>
      <c r="AA24" s="311">
        <f t="shared" si="12"/>
        <v>0.2</v>
      </c>
      <c r="AB24" s="311">
        <f t="shared" si="12"/>
        <v>0</v>
      </c>
      <c r="AC24" s="376">
        <f t="shared" si="12"/>
        <v>0</v>
      </c>
      <c r="AE24" s="179"/>
      <c r="AF24" s="179"/>
    </row>
    <row r="25" spans="2:34" x14ac:dyDescent="0.3">
      <c r="B25" s="481" t="s">
        <v>466</v>
      </c>
      <c r="C25" s="49"/>
      <c r="D25" s="265"/>
      <c r="E25" s="49"/>
      <c r="F25" s="50"/>
      <c r="G25" s="50"/>
      <c r="H25" s="212"/>
      <c r="I25" s="212"/>
      <c r="J25" s="212"/>
      <c r="K25" s="212"/>
      <c r="L25" s="212"/>
      <c r="M25" s="212"/>
      <c r="N25" s="50"/>
      <c r="O25" s="50">
        <f>O34</f>
        <v>12</v>
      </c>
      <c r="P25" s="50">
        <v>25</v>
      </c>
      <c r="Q25" s="50">
        <v>5</v>
      </c>
      <c r="R25" s="50">
        <v>5</v>
      </c>
      <c r="S25" s="50">
        <v>5</v>
      </c>
      <c r="T25" s="283">
        <f t="shared" ref="T25:AC25" si="13">T34</f>
        <v>0</v>
      </c>
      <c r="U25" s="311">
        <f t="shared" si="13"/>
        <v>0</v>
      </c>
      <c r="V25" s="311">
        <f t="shared" si="13"/>
        <v>0</v>
      </c>
      <c r="W25" s="311">
        <f t="shared" si="13"/>
        <v>0</v>
      </c>
      <c r="X25" s="311">
        <f t="shared" si="13"/>
        <v>0</v>
      </c>
      <c r="Y25" s="311">
        <f t="shared" si="13"/>
        <v>0</v>
      </c>
      <c r="Z25" s="311">
        <f t="shared" si="13"/>
        <v>0</v>
      </c>
      <c r="AA25" s="311">
        <f t="shared" si="13"/>
        <v>0</v>
      </c>
      <c r="AB25" s="311">
        <f t="shared" si="13"/>
        <v>0</v>
      </c>
      <c r="AC25" s="376">
        <f t="shared" si="13"/>
        <v>0</v>
      </c>
      <c r="AE25" s="179"/>
      <c r="AF25" s="179"/>
    </row>
    <row r="26" spans="2:34" x14ac:dyDescent="0.3">
      <c r="B26" s="481" t="s">
        <v>1453</v>
      </c>
      <c r="C26" s="49"/>
      <c r="D26" s="265"/>
      <c r="E26" s="49"/>
      <c r="F26" s="50"/>
      <c r="G26" s="50"/>
      <c r="H26" s="212"/>
      <c r="I26" s="212"/>
      <c r="J26" s="212"/>
      <c r="K26" s="212"/>
      <c r="L26" s="212"/>
      <c r="M26" s="212"/>
      <c r="N26" s="50"/>
      <c r="O26" s="50"/>
      <c r="P26" s="50"/>
      <c r="Q26" s="50"/>
      <c r="R26" s="50"/>
      <c r="S26" s="482">
        <f>'IRA and CHIPS'!E198</f>
        <v>0</v>
      </c>
      <c r="T26" s="483">
        <f>'IRA and CHIPS'!F198</f>
        <v>2.3250000000000002</v>
      </c>
      <c r="U26" s="487">
        <f>'IRA and CHIPS'!G198</f>
        <v>2.3250000000000002</v>
      </c>
      <c r="V26" s="487">
        <f>'IRA and CHIPS'!H198</f>
        <v>2.3250000000000002</v>
      </c>
      <c r="W26" s="487">
        <f>'IRA and CHIPS'!I198</f>
        <v>2.3250000000000002</v>
      </c>
      <c r="X26" s="487">
        <f>'IRA and CHIPS'!J198</f>
        <v>5.5830000000000002</v>
      </c>
      <c r="Y26" s="487">
        <f>'IRA and CHIPS'!K198</f>
        <v>5.5830000000000002</v>
      </c>
      <c r="Z26" s="487">
        <f>'IRA and CHIPS'!L198</f>
        <v>5.5830000000000002</v>
      </c>
      <c r="AA26" s="487">
        <f>'IRA and CHIPS'!M198</f>
        <v>5.5830000000000002</v>
      </c>
      <c r="AB26" s="487">
        <f>'IRA and CHIPS'!N198</f>
        <v>8.0220000000000002</v>
      </c>
      <c r="AC26" s="488">
        <f>'IRA and CHIPS'!O198</f>
        <v>8.0220000000000002</v>
      </c>
      <c r="AE26" s="179"/>
      <c r="AF26" s="179"/>
    </row>
    <row r="27" spans="2:34" x14ac:dyDescent="0.3">
      <c r="B27" s="481" t="s">
        <v>1261</v>
      </c>
      <c r="C27" s="335"/>
      <c r="D27" s="333"/>
      <c r="E27" s="335"/>
      <c r="F27" s="340"/>
      <c r="G27" s="340"/>
      <c r="H27" s="484"/>
      <c r="I27" s="484"/>
      <c r="J27" s="484"/>
      <c r="K27" s="484"/>
      <c r="L27" s="484"/>
      <c r="M27" s="484"/>
      <c r="N27" s="340"/>
      <c r="O27" s="340"/>
      <c r="P27" s="340"/>
      <c r="Q27" s="340"/>
      <c r="R27" s="340"/>
      <c r="S27" s="485">
        <f>'IRA and CHIPS'!E187</f>
        <v>0</v>
      </c>
      <c r="T27" s="486">
        <f>'IRA and CHIPS'!F187</f>
        <v>1.2969999999999999</v>
      </c>
      <c r="U27" s="489">
        <f>'IRA and CHIPS'!G187</f>
        <v>1.2969999999999999</v>
      </c>
      <c r="V27" s="489">
        <f>'IRA and CHIPS'!H187</f>
        <v>1.2969999999999999</v>
      </c>
      <c r="W27" s="489">
        <f>'IRA and CHIPS'!I187</f>
        <v>1.2969999999999999</v>
      </c>
      <c r="X27" s="489">
        <f>'IRA and CHIPS'!J187</f>
        <v>3.8479999999999999</v>
      </c>
      <c r="Y27" s="489">
        <f>'IRA and CHIPS'!K187</f>
        <v>3.8479999999999999</v>
      </c>
      <c r="Z27" s="489">
        <f>'IRA and CHIPS'!L187</f>
        <v>3.8479999999999999</v>
      </c>
      <c r="AA27" s="489">
        <f>'IRA and CHIPS'!M187</f>
        <v>3.8479999999999999</v>
      </c>
      <c r="AB27" s="489">
        <f>'IRA and CHIPS'!N187</f>
        <v>6.4420000000000002</v>
      </c>
      <c r="AC27" s="490">
        <f>'IRA and CHIPS'!O187</f>
        <v>6.4420000000000002</v>
      </c>
      <c r="AE27" s="179"/>
      <c r="AF27" s="179"/>
    </row>
    <row r="28" spans="2:34" ht="15" customHeight="1" x14ac:dyDescent="0.3">
      <c r="B28" s="1344" t="s">
        <v>467</v>
      </c>
      <c r="C28" s="1345"/>
      <c r="D28" s="492"/>
      <c r="E28" s="480"/>
      <c r="F28" s="480"/>
      <c r="G28" s="480"/>
      <c r="H28" s="50"/>
      <c r="I28" s="50"/>
      <c r="J28" s="50"/>
      <c r="K28" s="50"/>
      <c r="L28" s="50"/>
      <c r="M28" s="50"/>
      <c r="N28" s="50"/>
      <c r="O28" s="50"/>
      <c r="P28" s="504"/>
      <c r="Q28" s="50"/>
      <c r="R28" s="50"/>
      <c r="S28" s="50"/>
      <c r="T28" s="283"/>
      <c r="U28" s="311"/>
      <c r="V28" s="514"/>
      <c r="W28" s="514"/>
      <c r="X28" s="514"/>
      <c r="Y28" s="514"/>
      <c r="Z28" s="514"/>
      <c r="AA28" s="514"/>
      <c r="AB28" s="514"/>
      <c r="AC28" s="522"/>
      <c r="AE28" s="179"/>
      <c r="AF28" s="179"/>
    </row>
    <row r="29" spans="2:34" x14ac:dyDescent="0.3">
      <c r="B29" s="387" t="s">
        <v>468</v>
      </c>
      <c r="C29" s="449"/>
      <c r="D29" s="450"/>
      <c r="E29" s="449"/>
      <c r="F29" s="212"/>
      <c r="G29" s="212"/>
      <c r="H29" s="50"/>
      <c r="I29" s="50"/>
      <c r="J29" s="50"/>
      <c r="K29" s="50"/>
      <c r="L29" s="50"/>
      <c r="M29" s="50"/>
      <c r="N29" s="50">
        <f>SUM(N30:N34)</f>
        <v>23</v>
      </c>
      <c r="O29" s="50">
        <f>SUM(O30:O34)</f>
        <v>162</v>
      </c>
      <c r="P29" s="50"/>
      <c r="Q29" s="50"/>
      <c r="R29" s="50"/>
      <c r="S29" s="50"/>
      <c r="T29" s="283"/>
      <c r="U29" s="311"/>
      <c r="V29" s="514"/>
      <c r="W29" s="514"/>
      <c r="X29" s="514"/>
      <c r="Y29" s="514"/>
      <c r="Z29" s="514"/>
      <c r="AA29" s="514"/>
      <c r="AB29" s="514"/>
      <c r="AC29" s="522"/>
      <c r="AE29" s="179"/>
      <c r="AF29" s="179"/>
    </row>
    <row r="30" spans="2:34" x14ac:dyDescent="0.3">
      <c r="B30" s="277" t="s">
        <v>469</v>
      </c>
      <c r="C30" s="449"/>
      <c r="D30" s="450"/>
      <c r="E30" s="449"/>
      <c r="F30" s="212"/>
      <c r="G30" s="212"/>
      <c r="H30" s="50"/>
      <c r="I30" s="50"/>
      <c r="J30" s="50"/>
      <c r="K30" s="50"/>
      <c r="L30" s="496"/>
      <c r="M30" s="50"/>
      <c r="N30" s="50">
        <f>(4*'Response and Relief Act Score'!$F$15-$M$18)/2</f>
        <v>11</v>
      </c>
      <c r="O30" s="50">
        <f>(4*'Response and Relief Act Score'!$F$15-$M$18)/2</f>
        <v>11</v>
      </c>
      <c r="P30" s="50"/>
      <c r="Q30" s="50"/>
      <c r="R30" s="50"/>
      <c r="S30" s="50"/>
      <c r="T30" s="283"/>
      <c r="U30" s="311"/>
      <c r="V30" s="514"/>
      <c r="W30" s="514"/>
      <c r="X30" s="514"/>
      <c r="Y30" s="514"/>
      <c r="Z30" s="514"/>
      <c r="AA30" s="514"/>
      <c r="AB30" s="514"/>
      <c r="AC30" s="522"/>
      <c r="AE30" s="179"/>
      <c r="AF30" s="179"/>
    </row>
    <row r="31" spans="2:34" x14ac:dyDescent="0.3">
      <c r="B31" s="277" t="s">
        <v>466</v>
      </c>
      <c r="C31" s="449"/>
      <c r="D31" s="450"/>
      <c r="E31" s="449"/>
      <c r="F31" s="212"/>
      <c r="G31" s="212"/>
      <c r="H31" s="50"/>
      <c r="I31" s="50"/>
      <c r="J31" s="50"/>
      <c r="K31" s="50"/>
      <c r="L31" s="496"/>
      <c r="M31" s="50"/>
      <c r="N31" s="50"/>
      <c r="O31" s="50"/>
      <c r="P31" s="50"/>
      <c r="Q31" s="50"/>
      <c r="R31" s="50"/>
      <c r="S31" s="50"/>
      <c r="T31" s="283"/>
      <c r="U31" s="311"/>
      <c r="V31" s="514"/>
      <c r="W31" s="514"/>
      <c r="X31" s="514"/>
      <c r="Y31" s="514"/>
      <c r="Z31" s="514"/>
      <c r="AA31" s="514"/>
      <c r="AB31" s="514"/>
      <c r="AC31" s="522"/>
      <c r="AE31" s="179"/>
      <c r="AF31" s="179"/>
    </row>
    <row r="32" spans="2:34" x14ac:dyDescent="0.3">
      <c r="B32" s="523" t="s">
        <v>463</v>
      </c>
      <c r="C32" s="449"/>
      <c r="D32" s="450"/>
      <c r="E32" s="449"/>
      <c r="F32" s="212"/>
      <c r="G32" s="212"/>
      <c r="H32" s="50"/>
      <c r="I32" s="50"/>
      <c r="J32" s="50"/>
      <c r="K32" s="50"/>
      <c r="L32" s="50"/>
      <c r="M32" s="50"/>
      <c r="N32" s="50"/>
      <c r="O32" s="50">
        <v>79</v>
      </c>
      <c r="P32" s="50"/>
      <c r="Q32" s="350"/>
      <c r="R32" s="350"/>
      <c r="S32" s="350"/>
      <c r="T32" s="392"/>
      <c r="U32" s="380"/>
      <c r="V32" s="514"/>
      <c r="W32" s="514"/>
      <c r="X32" s="514"/>
      <c r="Y32" s="514"/>
      <c r="Z32" s="514"/>
      <c r="AA32" s="514"/>
      <c r="AB32" s="514"/>
      <c r="AC32" s="522"/>
      <c r="AE32" s="179"/>
      <c r="AF32" s="179"/>
    </row>
    <row r="33" spans="1:78" x14ac:dyDescent="0.3">
      <c r="B33" s="524" t="s">
        <v>470</v>
      </c>
      <c r="C33" s="449"/>
      <c r="D33" s="450"/>
      <c r="E33" s="449"/>
      <c r="F33" s="212"/>
      <c r="G33" s="212"/>
      <c r="H33" s="50"/>
      <c r="I33" s="50"/>
      <c r="J33" s="50"/>
      <c r="K33" s="50"/>
      <c r="L33" s="50"/>
      <c r="M33" s="50"/>
      <c r="N33" s="50"/>
      <c r="O33" s="50">
        <f>'Response and Relief Act Score'!F13*4</f>
        <v>60</v>
      </c>
      <c r="P33" s="50"/>
      <c r="Q33" s="350"/>
      <c r="R33" s="350"/>
      <c r="S33" s="350"/>
      <c r="T33" s="392"/>
      <c r="U33" s="380"/>
      <c r="V33" s="514"/>
      <c r="W33" s="514"/>
      <c r="X33" s="514"/>
      <c r="Y33" s="514"/>
      <c r="Z33" s="514"/>
      <c r="AA33" s="514"/>
      <c r="AB33" s="514"/>
      <c r="AC33" s="522"/>
      <c r="AE33" s="179"/>
      <c r="AF33" s="179"/>
    </row>
    <row r="34" spans="1:78" ht="27.6" customHeight="1" x14ac:dyDescent="0.3">
      <c r="B34" s="524" t="s">
        <v>471</v>
      </c>
      <c r="C34" s="449"/>
      <c r="D34" s="494"/>
      <c r="E34" s="495"/>
      <c r="F34" s="484"/>
      <c r="G34" s="484"/>
      <c r="H34" s="340"/>
      <c r="I34" s="340"/>
      <c r="J34" s="340"/>
      <c r="K34" s="340"/>
      <c r="L34" s="503"/>
      <c r="M34" s="340"/>
      <c r="N34" s="340">
        <f>'Response and Relief Act Score'!F14*4/2</f>
        <v>12</v>
      </c>
      <c r="O34" s="340">
        <f>'Response and Relief Act Score'!F14*4/2</f>
        <v>12</v>
      </c>
      <c r="P34" s="340"/>
      <c r="Q34" s="340"/>
      <c r="R34" s="340"/>
      <c r="S34" s="340"/>
      <c r="T34" s="324"/>
      <c r="U34" s="311"/>
      <c r="V34" s="514"/>
      <c r="W34" s="514"/>
      <c r="X34" s="514"/>
      <c r="Y34" s="514"/>
      <c r="Z34" s="514"/>
      <c r="AA34" s="514"/>
      <c r="AB34" s="514"/>
      <c r="AC34" s="522"/>
      <c r="AE34" s="179"/>
      <c r="AF34" s="179"/>
    </row>
    <row r="35" spans="1:78" ht="15" customHeight="1" x14ac:dyDescent="0.3">
      <c r="B35" s="1342" t="s">
        <v>472</v>
      </c>
      <c r="C35" s="1343"/>
      <c r="D35" s="450"/>
      <c r="E35" s="449"/>
      <c r="F35" s="212"/>
      <c r="G35" s="212"/>
      <c r="H35" s="50"/>
      <c r="I35" s="50"/>
      <c r="J35" s="50"/>
      <c r="K35" s="50"/>
      <c r="L35" s="496"/>
      <c r="M35" s="50"/>
      <c r="N35" s="50"/>
      <c r="O35" s="50"/>
      <c r="P35" s="50"/>
      <c r="Q35" s="50"/>
      <c r="R35" s="50"/>
      <c r="S35" s="50"/>
      <c r="T35" s="283"/>
      <c r="U35" s="526"/>
      <c r="V35" s="527"/>
      <c r="W35" s="527"/>
      <c r="X35" s="527"/>
      <c r="Y35" s="527"/>
      <c r="Z35" s="527"/>
      <c r="AA35" s="527"/>
      <c r="AB35" s="527"/>
      <c r="AC35" s="511"/>
      <c r="AE35" s="179"/>
      <c r="AF35" s="179"/>
    </row>
    <row r="36" spans="1:78" ht="13.5" customHeight="1" x14ac:dyDescent="0.3">
      <c r="B36" s="524" t="s">
        <v>143</v>
      </c>
      <c r="C36" s="449"/>
      <c r="D36" s="450"/>
      <c r="E36" s="449"/>
      <c r="F36" s="212"/>
      <c r="G36" s="212"/>
      <c r="H36" s="50"/>
      <c r="I36" s="50"/>
      <c r="J36" s="50"/>
      <c r="K36" s="50"/>
      <c r="L36" s="49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3">
        <f>'ARP Quarterly'!J18</f>
        <v>0</v>
      </c>
      <c r="U36" s="311">
        <f>'ARP Quarterly'!K18</f>
        <v>0</v>
      </c>
      <c r="V36" s="311">
        <f>'ARP Quarterly'!L18</f>
        <v>0</v>
      </c>
      <c r="W36" s="311">
        <f>'ARP Quarterly'!M18</f>
        <v>0</v>
      </c>
      <c r="X36" s="311">
        <f>'ARP Quarterly'!N18</f>
        <v>0</v>
      </c>
      <c r="Y36" s="311">
        <f>'ARP Quarterly'!O18</f>
        <v>0</v>
      </c>
      <c r="Z36" s="311">
        <f>'ARP Quarterly'!P18</f>
        <v>0</v>
      </c>
      <c r="AA36" s="311">
        <f>'ARP Quarterly'!Q18</f>
        <v>0</v>
      </c>
      <c r="AB36" s="311">
        <f>'ARP Quarterly'!R18</f>
        <v>0</v>
      </c>
      <c r="AC36" s="376">
        <f>'ARP Quarterly'!S18</f>
        <v>0</v>
      </c>
      <c r="AE36" s="179"/>
      <c r="AF36" s="179"/>
    </row>
    <row r="37" spans="1:78" x14ac:dyDescent="0.3">
      <c r="B37" s="524" t="s">
        <v>473</v>
      </c>
      <c r="C37" s="449"/>
      <c r="D37" s="450"/>
      <c r="E37" s="449"/>
      <c r="F37" s="212"/>
      <c r="G37" s="212"/>
      <c r="H37" s="50"/>
      <c r="I37" s="50"/>
      <c r="J37" s="50"/>
      <c r="K37" s="50"/>
      <c r="L37" s="49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3">
        <f>'ARP Quarterly'!J19</f>
        <v>0.48599999999999993</v>
      </c>
      <c r="U37" s="311">
        <f>'ARP Quarterly'!K19</f>
        <v>0.48599999999999993</v>
      </c>
      <c r="V37" s="311">
        <f>'ARP Quarterly'!L19</f>
        <v>0.48599999999999993</v>
      </c>
      <c r="W37" s="311">
        <f>'ARP Quarterly'!M19</f>
        <v>0.48599999999999993</v>
      </c>
      <c r="X37" s="311">
        <f>'ARP Quarterly'!N19</f>
        <v>0</v>
      </c>
      <c r="Y37" s="311">
        <f>'ARP Quarterly'!O19</f>
        <v>0</v>
      </c>
      <c r="Z37" s="311">
        <f>'ARP Quarterly'!P19</f>
        <v>0</v>
      </c>
      <c r="AA37" s="311">
        <f>'ARP Quarterly'!Q19</f>
        <v>0</v>
      </c>
      <c r="AB37" s="311">
        <f>'ARP Quarterly'!R19</f>
        <v>0</v>
      </c>
      <c r="AC37" s="376">
        <f>'ARP Quarterly'!S19</f>
        <v>0</v>
      </c>
      <c r="AE37" s="179"/>
      <c r="AF37" s="179"/>
    </row>
    <row r="38" spans="1:78" x14ac:dyDescent="0.3">
      <c r="B38" s="524" t="s">
        <v>148</v>
      </c>
      <c r="C38" s="449"/>
      <c r="D38" s="450"/>
      <c r="E38" s="449"/>
      <c r="F38" s="212"/>
      <c r="G38" s="212"/>
      <c r="H38" s="50"/>
      <c r="I38" s="50"/>
      <c r="J38" s="50"/>
      <c r="K38" s="50"/>
      <c r="L38" s="49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3">
        <f>'ARP Quarterly'!J20</f>
        <v>0</v>
      </c>
      <c r="U38" s="311">
        <f>'ARP Quarterly'!K20</f>
        <v>0</v>
      </c>
      <c r="V38" s="311">
        <f>'ARP Quarterly'!L20</f>
        <v>0</v>
      </c>
      <c r="W38" s="311">
        <f>'ARP Quarterly'!M20</f>
        <v>0</v>
      </c>
      <c r="X38" s="311">
        <f>'ARP Quarterly'!N20</f>
        <v>0</v>
      </c>
      <c r="Y38" s="311">
        <f>'ARP Quarterly'!O20</f>
        <v>0</v>
      </c>
      <c r="Z38" s="311">
        <f>'ARP Quarterly'!P20</f>
        <v>0</v>
      </c>
      <c r="AA38" s="311">
        <f>'ARP Quarterly'!Q20</f>
        <v>0</v>
      </c>
      <c r="AB38" s="311">
        <f>'ARP Quarterly'!R20</f>
        <v>0</v>
      </c>
      <c r="AC38" s="376">
        <f>'ARP Quarterly'!S20</f>
        <v>0</v>
      </c>
      <c r="AE38" s="179"/>
      <c r="AF38" s="179"/>
    </row>
    <row r="39" spans="1:78" x14ac:dyDescent="0.3">
      <c r="B39" s="524" t="s">
        <v>463</v>
      </c>
      <c r="C39" s="449"/>
      <c r="D39" s="450"/>
      <c r="E39" s="449"/>
      <c r="F39" s="212"/>
      <c r="G39" s="212"/>
      <c r="H39" s="50"/>
      <c r="I39" s="50"/>
      <c r="J39" s="50"/>
      <c r="K39" s="50"/>
      <c r="L39" s="49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3">
        <f>'ARP Quarterly'!J21</f>
        <v>0.78750000000000009</v>
      </c>
      <c r="U39" s="311">
        <f>'ARP Quarterly'!K21</f>
        <v>0.78750000000000009</v>
      </c>
      <c r="V39" s="311">
        <f>'ARP Quarterly'!L21</f>
        <v>0.78750000000000009</v>
      </c>
      <c r="W39" s="311">
        <f>'ARP Quarterly'!M21</f>
        <v>0.78750000000000009</v>
      </c>
      <c r="X39" s="311">
        <f>'ARP Quarterly'!N21</f>
        <v>0</v>
      </c>
      <c r="Y39" s="311">
        <f>'ARP Quarterly'!O21</f>
        <v>0</v>
      </c>
      <c r="Z39" s="311">
        <f>'ARP Quarterly'!P21</f>
        <v>0</v>
      </c>
      <c r="AA39" s="311">
        <f>'ARP Quarterly'!Q21</f>
        <v>0</v>
      </c>
      <c r="AB39" s="311">
        <f>'ARP Quarterly'!R21</f>
        <v>0</v>
      </c>
      <c r="AC39" s="376">
        <f>'ARP Quarterly'!S21</f>
        <v>0</v>
      </c>
      <c r="AE39" s="179"/>
      <c r="AF39" s="179"/>
    </row>
    <row r="40" spans="1:78" ht="30" customHeight="1" x14ac:dyDescent="0.3">
      <c r="B40" s="524" t="s">
        <v>474</v>
      </c>
      <c r="C40" s="449"/>
      <c r="D40" s="450"/>
      <c r="E40" s="449"/>
      <c r="F40" s="212"/>
      <c r="G40" s="212"/>
      <c r="H40" s="50"/>
      <c r="I40" s="50"/>
      <c r="J40" s="50"/>
      <c r="K40" s="50"/>
      <c r="L40" s="49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3">
        <f>'ARP Quarterly'!J22</f>
        <v>1.3125000000000002</v>
      </c>
      <c r="U40" s="311">
        <f>'ARP Quarterly'!K22</f>
        <v>1.3125000000000002</v>
      </c>
      <c r="V40" s="311">
        <f>'ARP Quarterly'!L22</f>
        <v>1.3125000000000002</v>
      </c>
      <c r="W40" s="311">
        <f>'ARP Quarterly'!M22</f>
        <v>1.3125000000000002</v>
      </c>
      <c r="X40" s="311">
        <f>'ARP Quarterly'!N22</f>
        <v>0</v>
      </c>
      <c r="Y40" s="311">
        <f>'ARP Quarterly'!O22</f>
        <v>0</v>
      </c>
      <c r="Z40" s="311">
        <f>'ARP Quarterly'!P22</f>
        <v>0</v>
      </c>
      <c r="AA40" s="311">
        <f>'ARP Quarterly'!Q22</f>
        <v>0</v>
      </c>
      <c r="AB40" s="311">
        <f>'ARP Quarterly'!R22</f>
        <v>0</v>
      </c>
      <c r="AC40" s="376">
        <f>'ARP Quarterly'!S22</f>
        <v>0</v>
      </c>
      <c r="AE40" s="179"/>
      <c r="AF40" s="179"/>
    </row>
    <row r="41" spans="1:78" x14ac:dyDescent="0.3">
      <c r="B41" s="524" t="s">
        <v>475</v>
      </c>
      <c r="C41" s="449"/>
      <c r="D41" s="450"/>
      <c r="E41" s="449"/>
      <c r="F41" s="212"/>
      <c r="G41" s="212"/>
      <c r="H41" s="50"/>
      <c r="I41" s="50"/>
      <c r="J41" s="50"/>
      <c r="K41" s="50"/>
      <c r="L41" s="49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3">
        <f>'ARP Quarterly'!J23</f>
        <v>8.4</v>
      </c>
      <c r="U41" s="311">
        <f>'ARP Quarterly'!K23</f>
        <v>8.4</v>
      </c>
      <c r="V41" s="311">
        <f>'ARP Quarterly'!L23</f>
        <v>8.4</v>
      </c>
      <c r="W41" s="311">
        <f>'ARP Quarterly'!M23</f>
        <v>8.4</v>
      </c>
      <c r="X41" s="311">
        <f>'ARP Quarterly'!N23</f>
        <v>0.2</v>
      </c>
      <c r="Y41" s="311">
        <f>'ARP Quarterly'!O23</f>
        <v>0.2</v>
      </c>
      <c r="Z41" s="311">
        <f>'ARP Quarterly'!P23</f>
        <v>0.2</v>
      </c>
      <c r="AA41" s="311">
        <f>'ARP Quarterly'!Q23</f>
        <v>0.2</v>
      </c>
      <c r="AB41" s="311">
        <f>'ARP Quarterly'!R23</f>
        <v>0</v>
      </c>
      <c r="AC41" s="376">
        <f>'ARP Quarterly'!S23</f>
        <v>0</v>
      </c>
      <c r="AE41" s="179"/>
      <c r="AF41" s="179"/>
    </row>
    <row r="42" spans="1:78" x14ac:dyDescent="0.3">
      <c r="B42" s="524" t="s">
        <v>476</v>
      </c>
      <c r="C42" s="449"/>
      <c r="D42" s="450"/>
      <c r="E42" s="449"/>
      <c r="F42" s="212"/>
      <c r="G42" s="212"/>
      <c r="H42" s="50"/>
      <c r="I42" s="50"/>
      <c r="J42" s="50"/>
      <c r="K42" s="50"/>
      <c r="L42" s="496"/>
      <c r="M42" s="50">
        <f>'ARP Quarterly'!C24</f>
        <v>0</v>
      </c>
      <c r="N42" s="50">
        <f>'ARP Quarterly'!D24</f>
        <v>-0.20447999999999997</v>
      </c>
      <c r="O42" s="50">
        <f>'ARP Quarterly'!E24</f>
        <v>-0.93152000000000001</v>
      </c>
      <c r="P42" s="50">
        <v>0</v>
      </c>
      <c r="Q42" s="50">
        <v>0</v>
      </c>
      <c r="R42" s="50">
        <v>0</v>
      </c>
      <c r="S42" s="50">
        <v>0</v>
      </c>
      <c r="T42" s="283">
        <v>0</v>
      </c>
      <c r="U42" s="311">
        <v>0</v>
      </c>
      <c r="V42" s="311">
        <v>0</v>
      </c>
      <c r="W42" s="311">
        <v>0</v>
      </c>
      <c r="X42" s="311">
        <v>0</v>
      </c>
      <c r="Y42" s="311">
        <v>0</v>
      </c>
      <c r="Z42" s="311">
        <v>0</v>
      </c>
      <c r="AA42" s="311">
        <v>0</v>
      </c>
      <c r="AB42" s="311">
        <v>0</v>
      </c>
      <c r="AC42" s="376">
        <v>0</v>
      </c>
      <c r="AE42" s="179"/>
      <c r="AF42" s="179"/>
    </row>
    <row r="43" spans="1:78" x14ac:dyDescent="0.3">
      <c r="B43" s="524" t="s">
        <v>359</v>
      </c>
      <c r="C43" s="449"/>
      <c r="D43" s="494"/>
      <c r="E43" s="495"/>
      <c r="F43" s="484"/>
      <c r="G43" s="484"/>
      <c r="H43" s="340"/>
      <c r="I43" s="340"/>
      <c r="J43" s="340"/>
      <c r="K43" s="340"/>
      <c r="L43" s="503"/>
      <c r="M43" s="340">
        <f>'ARP Quarterly'!C25</f>
        <v>0</v>
      </c>
      <c r="N43" s="340">
        <f>'ARP Quarterly'!D25</f>
        <v>58.782959999999996</v>
      </c>
      <c r="O43" s="340">
        <f>'ARP Quarterly'!E25</f>
        <v>267.78904000000006</v>
      </c>
      <c r="P43" s="340">
        <f>'ARP Quarterly'!F25</f>
        <v>110.24799999999999</v>
      </c>
      <c r="Q43" s="340">
        <f>'ARP Quarterly'!G25</f>
        <v>110.24799999999999</v>
      </c>
      <c r="R43" s="340">
        <f>'ARP Quarterly'!H25</f>
        <v>110.24799999999999</v>
      </c>
      <c r="S43" s="340">
        <f>'ARP Quarterly'!I25</f>
        <v>110.24799999999999</v>
      </c>
      <c r="T43" s="324">
        <f>'ARP Quarterly'!J25</f>
        <v>12.362</v>
      </c>
      <c r="U43" s="311">
        <f>'ARP Quarterly'!K25</f>
        <v>12.362</v>
      </c>
      <c r="V43" s="311">
        <f>'ARP Quarterly'!L25</f>
        <v>12.362</v>
      </c>
      <c r="W43" s="311">
        <f>'ARP Quarterly'!M25</f>
        <v>12.362</v>
      </c>
      <c r="X43" s="311">
        <f>'ARP Quarterly'!N25</f>
        <v>-0.67500000000000004</v>
      </c>
      <c r="Y43" s="311">
        <f>'ARP Quarterly'!O25</f>
        <v>-0.67500000000000004</v>
      </c>
      <c r="Z43" s="311">
        <f>'ARP Quarterly'!P25</f>
        <v>-0.67500000000000004</v>
      </c>
      <c r="AA43" s="311">
        <f>'ARP Quarterly'!Q25</f>
        <v>-0.67500000000000004</v>
      </c>
      <c r="AB43" s="311">
        <f>'ARP Quarterly'!R25</f>
        <v>0</v>
      </c>
      <c r="AC43" s="376">
        <f>'ARP Quarterly'!S25</f>
        <v>0</v>
      </c>
      <c r="AE43" s="179"/>
      <c r="AF43" s="179"/>
    </row>
    <row r="44" spans="1:78" ht="15" customHeight="1" x14ac:dyDescent="0.3">
      <c r="B44" s="1342" t="s">
        <v>477</v>
      </c>
      <c r="C44" s="1343"/>
      <c r="D44" s="493"/>
      <c r="E44" s="69"/>
      <c r="F44" s="212"/>
      <c r="G44" s="212"/>
      <c r="H44" s="50"/>
      <c r="I44" s="50"/>
      <c r="J44" s="50"/>
      <c r="K44" s="50"/>
      <c r="L44" s="496"/>
      <c r="M44" s="50"/>
      <c r="N44" s="50"/>
      <c r="O44" s="50"/>
      <c r="P44" s="50"/>
      <c r="Q44" s="50"/>
      <c r="R44" s="50"/>
      <c r="S44" s="50"/>
      <c r="T44" s="283"/>
      <c r="U44" s="526"/>
      <c r="V44" s="527"/>
      <c r="W44" s="527"/>
      <c r="X44" s="527"/>
      <c r="Y44" s="527"/>
      <c r="Z44" s="527"/>
      <c r="AA44" s="527"/>
      <c r="AB44" s="527"/>
      <c r="AC44" s="511"/>
      <c r="AE44" s="179"/>
      <c r="AF44" s="179"/>
    </row>
    <row r="45" spans="1:78" ht="21" customHeight="1" x14ac:dyDescent="0.3">
      <c r="B45" s="395" t="s">
        <v>478</v>
      </c>
      <c r="C45" s="497"/>
      <c r="D45" s="395"/>
      <c r="E45" s="497"/>
      <c r="F45" s="302"/>
      <c r="G45" s="302"/>
      <c r="H45" s="498"/>
      <c r="I45" s="498"/>
      <c r="J45" s="498"/>
      <c r="K45" s="498"/>
      <c r="L45" s="499"/>
      <c r="M45" s="498">
        <f>'ARP Quarterly'!C6</f>
        <v>0</v>
      </c>
      <c r="N45" s="498">
        <f>'ARP Quarterly'!D6</f>
        <v>58.782959999999989</v>
      </c>
      <c r="O45" s="498">
        <f>'ARP Quarterly'!E6</f>
        <v>267.78904</v>
      </c>
      <c r="P45" s="498">
        <f>'ARP Quarterly'!F6</f>
        <v>110.24799999999999</v>
      </c>
      <c r="Q45" s="498">
        <f>'ARP Quarterly'!G6</f>
        <v>110.24799999999999</v>
      </c>
      <c r="R45" s="498">
        <f>'ARP Quarterly'!H6</f>
        <v>110.24799999999999</v>
      </c>
      <c r="S45" s="498">
        <f>'ARP Quarterly'!I6</f>
        <v>110.24799999999999</v>
      </c>
      <c r="T45" s="501">
        <f>'ARP Quarterly'!J6</f>
        <v>12.726000000000001</v>
      </c>
      <c r="U45" s="518">
        <f>'ARP Quarterly'!K6</f>
        <v>12.726000000000001</v>
      </c>
      <c r="V45" s="518">
        <f>'ARP Quarterly'!L6</f>
        <v>12.726000000000001</v>
      </c>
      <c r="W45" s="518">
        <f>'ARP Quarterly'!M6</f>
        <v>12.726000000000001</v>
      </c>
      <c r="X45" s="518">
        <f>'ARP Quarterly'!N6</f>
        <v>1.365</v>
      </c>
      <c r="Y45" s="518">
        <f>'ARP Quarterly'!O6</f>
        <v>1.365</v>
      </c>
      <c r="Z45" s="518">
        <f>'ARP Quarterly'!P6</f>
        <v>1.365</v>
      </c>
      <c r="AA45" s="518">
        <f>'ARP Quarterly'!Q6</f>
        <v>1.365</v>
      </c>
      <c r="AB45" s="518">
        <f>'ARP Quarterly'!R6</f>
        <v>-0.90100000000000025</v>
      </c>
      <c r="AC45" s="529">
        <f>'ARP Quarterly'!S6</f>
        <v>-0.90100000000000025</v>
      </c>
      <c r="AE45" s="179"/>
      <c r="AF45" s="179"/>
    </row>
    <row r="46" spans="1:78" ht="19.5" customHeight="1" x14ac:dyDescent="0.3">
      <c r="A46" s="525"/>
      <c r="B46" s="512" t="s">
        <v>199</v>
      </c>
      <c r="C46" s="513"/>
      <c r="D46" s="512"/>
      <c r="E46" s="513"/>
      <c r="F46" s="530">
        <f>F11-F45</f>
        <v>60.5</v>
      </c>
      <c r="G46" s="530">
        <f>G11-G45</f>
        <v>81.400000000000006</v>
      </c>
      <c r="H46" s="530">
        <f t="shared" ref="H46:AC46" si="14">H11-H45</f>
        <v>82.1</v>
      </c>
      <c r="I46" s="530">
        <f>I11-I45</f>
        <v>80</v>
      </c>
      <c r="J46" s="530">
        <f t="shared" si="14"/>
        <v>975.7</v>
      </c>
      <c r="K46" s="530">
        <f t="shared" si="14"/>
        <v>1108.8</v>
      </c>
      <c r="L46" s="530">
        <f>L11-L45</f>
        <v>462.2</v>
      </c>
      <c r="M46" s="530">
        <f>M11-M45</f>
        <v>387.4</v>
      </c>
      <c r="N46" s="530">
        <f t="shared" si="14"/>
        <v>635.11703999999997</v>
      </c>
      <c r="O46" s="530">
        <f>O11-O45</f>
        <v>277.81096000000002</v>
      </c>
      <c r="P46" s="530">
        <f>P11-P45</f>
        <v>178.05200000000002</v>
      </c>
      <c r="Q46" s="530">
        <f t="shared" si="14"/>
        <v>34.25200000000001</v>
      </c>
      <c r="R46" s="530">
        <f t="shared" si="14"/>
        <v>12.652000000000015</v>
      </c>
      <c r="S46" s="530">
        <f t="shared" si="14"/>
        <v>3.5520000000000067</v>
      </c>
      <c r="T46" s="502">
        <f t="shared" si="14"/>
        <v>98.073999999999998</v>
      </c>
      <c r="U46" s="519">
        <f t="shared" si="14"/>
        <v>83.295999999999992</v>
      </c>
      <c r="V46" s="519">
        <f t="shared" si="14"/>
        <v>75.782000000000011</v>
      </c>
      <c r="W46" s="519">
        <f t="shared" si="14"/>
        <v>75.782000000000011</v>
      </c>
      <c r="X46" s="519">
        <f t="shared" si="14"/>
        <v>84.266000000000005</v>
      </c>
      <c r="Y46" s="519">
        <f t="shared" si="14"/>
        <v>84.266000000000005</v>
      </c>
      <c r="Z46" s="519">
        <f t="shared" si="14"/>
        <v>84.266000000000005</v>
      </c>
      <c r="AA46" s="519">
        <f t="shared" si="14"/>
        <v>84.266000000000005</v>
      </c>
      <c r="AB46" s="519">
        <f t="shared" si="14"/>
        <v>91.364999999999995</v>
      </c>
      <c r="AC46" s="520">
        <f t="shared" si="14"/>
        <v>91.364999999999995</v>
      </c>
      <c r="AE46" s="179"/>
      <c r="AF46" s="179"/>
      <c r="AG46" s="525"/>
      <c r="AH46" s="525"/>
      <c r="AI46" s="525"/>
      <c r="AJ46" s="525"/>
      <c r="AK46" s="525"/>
      <c r="AL46" s="525"/>
      <c r="AM46" s="525"/>
      <c r="AN46" s="525"/>
      <c r="AO46" s="525"/>
      <c r="AP46" s="525"/>
      <c r="AQ46" s="525"/>
      <c r="AR46" s="525"/>
      <c r="AS46" s="525"/>
      <c r="AT46" s="525"/>
      <c r="AU46" s="525"/>
      <c r="AV46" s="525"/>
      <c r="AW46" s="525"/>
      <c r="AX46" s="525"/>
      <c r="AY46" s="525"/>
      <c r="AZ46" s="525"/>
      <c r="BA46" s="525"/>
      <c r="BB46" s="525"/>
      <c r="BC46" s="525"/>
      <c r="BD46" s="525"/>
      <c r="BE46" s="525"/>
      <c r="BF46" s="525"/>
      <c r="BG46" s="525"/>
      <c r="BH46" s="525"/>
      <c r="BI46" s="525"/>
      <c r="BJ46" s="525"/>
      <c r="BK46" s="525"/>
      <c r="BL46" s="525"/>
      <c r="BM46" s="525"/>
      <c r="BN46" s="525"/>
      <c r="BO46" s="525"/>
      <c r="BP46" s="525"/>
      <c r="BQ46" s="525"/>
      <c r="BR46" s="525"/>
      <c r="BS46" s="525"/>
      <c r="BT46" s="525"/>
      <c r="BU46" s="525"/>
      <c r="BV46" s="525"/>
      <c r="BW46" s="525"/>
      <c r="BX46" s="525"/>
      <c r="BY46" s="525"/>
      <c r="BZ46" s="525"/>
    </row>
    <row r="47" spans="1:78" ht="19.5" customHeight="1" x14ac:dyDescent="0.3">
      <c r="A47" s="525"/>
      <c r="B47" s="232"/>
      <c r="C47" s="232"/>
      <c r="D47" s="232"/>
      <c r="E47" s="232"/>
      <c r="F47" s="517"/>
      <c r="G47" s="517"/>
      <c r="H47" s="517"/>
      <c r="I47" s="517"/>
      <c r="J47" s="517"/>
      <c r="K47" s="517"/>
      <c r="L47" s="517"/>
      <c r="M47" s="517"/>
      <c r="N47" s="517"/>
      <c r="O47" s="517"/>
      <c r="P47" s="517"/>
      <c r="Q47" s="517"/>
      <c r="R47" s="517"/>
      <c r="S47" s="517"/>
      <c r="T47" s="517"/>
      <c r="U47" s="517"/>
      <c r="V47" s="517"/>
      <c r="W47" s="517"/>
      <c r="X47" s="517"/>
      <c r="Y47" s="517"/>
      <c r="Z47" s="517"/>
      <c r="AA47" s="517"/>
      <c r="AB47" s="517"/>
      <c r="AC47" s="517"/>
      <c r="AG47" s="525"/>
      <c r="AH47" s="525"/>
      <c r="AI47" s="525"/>
      <c r="AJ47" s="525"/>
      <c r="AK47" s="525"/>
      <c r="AL47" s="525"/>
      <c r="AM47" s="525"/>
      <c r="AN47" s="525"/>
      <c r="AO47" s="525"/>
      <c r="AP47" s="525"/>
      <c r="AQ47" s="525"/>
      <c r="AR47" s="525"/>
      <c r="AS47" s="525"/>
      <c r="AT47" s="525"/>
      <c r="AU47" s="525"/>
      <c r="AV47" s="525"/>
      <c r="AW47" s="525"/>
      <c r="AX47" s="525"/>
      <c r="AY47" s="525"/>
      <c r="AZ47" s="525"/>
      <c r="BA47" s="525"/>
      <c r="BB47" s="525"/>
      <c r="BC47" s="525"/>
      <c r="BD47" s="525"/>
      <c r="BE47" s="525"/>
      <c r="BF47" s="525"/>
      <c r="BG47" s="525"/>
      <c r="BH47" s="525"/>
      <c r="BI47" s="525"/>
      <c r="BJ47" s="525"/>
      <c r="BK47" s="525"/>
      <c r="BL47" s="525"/>
      <c r="BM47" s="525"/>
      <c r="BN47" s="525"/>
      <c r="BO47" s="525"/>
      <c r="BP47" s="525"/>
      <c r="BQ47" s="525"/>
      <c r="BR47" s="525"/>
      <c r="BS47" s="525"/>
      <c r="BT47" s="525"/>
      <c r="BU47" s="525"/>
      <c r="BV47" s="525"/>
      <c r="BW47" s="525"/>
      <c r="BX47" s="525"/>
      <c r="BY47" s="525"/>
      <c r="BZ47" s="525"/>
    </row>
    <row r="48" spans="1:78" ht="19.5" customHeight="1" x14ac:dyDescent="0.3">
      <c r="A48" s="525"/>
      <c r="B48" s="232"/>
      <c r="C48" s="232"/>
      <c r="D48" s="232"/>
      <c r="E48" s="232"/>
      <c r="F48" s="517"/>
      <c r="G48" s="517"/>
      <c r="H48" s="517"/>
      <c r="I48" s="517"/>
      <c r="J48" s="517"/>
      <c r="K48" s="517"/>
      <c r="L48" s="517"/>
      <c r="M48" s="517"/>
      <c r="N48" s="517"/>
      <c r="O48" s="517"/>
      <c r="P48" s="517"/>
      <c r="Q48" s="517"/>
      <c r="R48" s="517"/>
      <c r="S48" s="517"/>
      <c r="T48" s="517"/>
      <c r="U48" s="517"/>
      <c r="V48" s="517"/>
      <c r="W48" s="517"/>
      <c r="X48" s="517"/>
      <c r="Y48" s="517"/>
      <c r="Z48" s="517"/>
      <c r="AA48" s="517"/>
      <c r="AB48" s="517"/>
      <c r="AC48" s="517"/>
      <c r="AG48" s="525"/>
      <c r="AH48" s="525"/>
      <c r="AI48" s="525"/>
      <c r="AJ48" s="525"/>
      <c r="AK48" s="525"/>
      <c r="AL48" s="525"/>
      <c r="AM48" s="525"/>
      <c r="AN48" s="525"/>
      <c r="AO48" s="525"/>
      <c r="AP48" s="525"/>
      <c r="AQ48" s="525"/>
      <c r="AR48" s="525"/>
      <c r="AS48" s="525"/>
      <c r="AT48" s="525"/>
      <c r="AU48" s="525"/>
      <c r="AV48" s="525"/>
      <c r="AW48" s="525"/>
      <c r="AX48" s="525"/>
      <c r="AY48" s="525"/>
      <c r="AZ48" s="525"/>
      <c r="BA48" s="525"/>
      <c r="BB48" s="525"/>
      <c r="BC48" s="525"/>
      <c r="BD48" s="525"/>
      <c r="BE48" s="525"/>
      <c r="BF48" s="525"/>
      <c r="BG48" s="525"/>
      <c r="BH48" s="525"/>
      <c r="BI48" s="525"/>
      <c r="BJ48" s="525"/>
      <c r="BK48" s="525"/>
      <c r="BL48" s="525"/>
      <c r="BM48" s="525"/>
      <c r="BN48" s="525"/>
      <c r="BO48" s="525"/>
      <c r="BP48" s="525"/>
      <c r="BQ48" s="525"/>
      <c r="BR48" s="525"/>
      <c r="BS48" s="525"/>
      <c r="BT48" s="525"/>
      <c r="BU48" s="525"/>
      <c r="BV48" s="525"/>
      <c r="BW48" s="525"/>
      <c r="BX48" s="525"/>
      <c r="BY48" s="525"/>
      <c r="BZ48" s="525"/>
    </row>
    <row r="49" spans="2:29" x14ac:dyDescent="0.3">
      <c r="B49" s="491"/>
      <c r="C49" s="213"/>
      <c r="D49" s="213"/>
      <c r="E49" s="213"/>
      <c r="F49" s="213"/>
      <c r="G49" s="213"/>
      <c r="H49" s="213"/>
      <c r="I49" s="213"/>
      <c r="J49" s="213"/>
      <c r="K49" s="213"/>
      <c r="L49" s="213"/>
      <c r="M49" s="213"/>
      <c r="N49" s="213"/>
      <c r="O49" s="213"/>
      <c r="P49" s="461"/>
      <c r="Q49" s="461"/>
      <c r="R49" s="461"/>
      <c r="S49" s="461"/>
      <c r="T49" s="461"/>
      <c r="U49" s="461"/>
      <c r="V49" s="461"/>
      <c r="W49" s="461"/>
      <c r="X49" s="461"/>
      <c r="Y49" s="461"/>
      <c r="Z49" s="461"/>
      <c r="AA49" s="461"/>
      <c r="AB49" s="461"/>
      <c r="AC49" s="461"/>
    </row>
    <row r="51" spans="2:29" x14ac:dyDescent="0.3">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2"/>
  <sheetViews>
    <sheetView topLeftCell="A16" zoomScale="90" zoomScaleNormal="90" workbookViewId="0">
      <selection activeCell="T30" sqref="T30"/>
    </sheetView>
  </sheetViews>
  <sheetFormatPr defaultColWidth="10.7773437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276" t="s">
        <v>54</v>
      </c>
      <c r="C1" s="1276"/>
      <c r="D1" s="1276"/>
      <c r="E1" s="1276"/>
      <c r="F1" s="1276"/>
      <c r="G1" s="1276"/>
      <c r="H1" s="1276"/>
      <c r="I1" s="1276"/>
      <c r="J1" s="1276"/>
      <c r="K1" s="1276"/>
      <c r="L1" s="1276"/>
      <c r="M1" s="1276"/>
      <c r="N1" s="1276"/>
      <c r="O1" s="1276"/>
      <c r="P1" s="1276"/>
      <c r="Q1" s="1276"/>
      <c r="R1" s="1276"/>
      <c r="S1" s="1276"/>
      <c r="T1" s="1276"/>
      <c r="U1" s="1276"/>
      <c r="V1" s="1276"/>
      <c r="W1" s="1276"/>
      <c r="X1" s="1276"/>
      <c r="Y1" s="1276"/>
      <c r="Z1" s="1276"/>
      <c r="AA1" s="1276"/>
      <c r="AB1" s="1276"/>
      <c r="AC1" s="1276"/>
    </row>
    <row r="2" spans="2:29" ht="14.25" customHeight="1" x14ac:dyDescent="0.3">
      <c r="B2" s="1347" t="s">
        <v>917</v>
      </c>
      <c r="C2" s="1347"/>
      <c r="D2" s="1347"/>
      <c r="E2" s="1347"/>
      <c r="F2" s="1347"/>
      <c r="G2" s="1347"/>
      <c r="H2" s="1347"/>
      <c r="I2" s="1347"/>
      <c r="J2" s="1347"/>
      <c r="K2" s="1347"/>
      <c r="L2" s="1347"/>
      <c r="M2" s="1347"/>
      <c r="N2" s="1347"/>
      <c r="O2" s="1347"/>
      <c r="P2" s="1347"/>
      <c r="Q2" s="1347"/>
      <c r="R2" s="1347"/>
      <c r="S2" s="1347"/>
      <c r="T2" s="1347"/>
      <c r="U2" s="1347"/>
      <c r="V2" s="1346" t="s">
        <v>984</v>
      </c>
      <c r="W2" s="1346"/>
      <c r="X2" s="1346"/>
      <c r="Y2" s="1346"/>
      <c r="Z2" s="1346"/>
      <c r="AA2" s="1346"/>
      <c r="AB2" s="1346"/>
      <c r="AC2" s="586"/>
    </row>
    <row r="3" spans="2:29" ht="59.85" customHeight="1" x14ac:dyDescent="0.3">
      <c r="B3" s="1347"/>
      <c r="C3" s="1347"/>
      <c r="D3" s="1347"/>
      <c r="E3" s="1347"/>
      <c r="F3" s="1347"/>
      <c r="G3" s="1347"/>
      <c r="H3" s="1347"/>
      <c r="I3" s="1347"/>
      <c r="J3" s="1347"/>
      <c r="K3" s="1347"/>
      <c r="L3" s="1347"/>
      <c r="M3" s="1347"/>
      <c r="N3" s="1347"/>
      <c r="O3" s="1347"/>
      <c r="P3" s="1347"/>
      <c r="Q3" s="1347"/>
      <c r="R3" s="1347"/>
      <c r="S3" s="1347"/>
      <c r="T3" s="1347"/>
      <c r="U3" s="1347"/>
      <c r="V3" s="1346"/>
      <c r="W3" s="1346"/>
      <c r="X3" s="1346"/>
      <c r="Y3" s="1346"/>
      <c r="Z3" s="1346"/>
      <c r="AA3" s="1346"/>
      <c r="AB3" s="1346"/>
      <c r="AC3" s="586"/>
    </row>
    <row r="4" spans="2:29" ht="88.5" customHeight="1" x14ac:dyDescent="0.3">
      <c r="B4" s="1347"/>
      <c r="C4" s="1347"/>
      <c r="D4" s="1347"/>
      <c r="E4" s="1347"/>
      <c r="F4" s="1347"/>
      <c r="G4" s="1347"/>
      <c r="H4" s="1347"/>
      <c r="I4" s="1347"/>
      <c r="J4" s="1347"/>
      <c r="K4" s="1347"/>
      <c r="L4" s="1347"/>
      <c r="M4" s="1347"/>
      <c r="N4" s="1347"/>
      <c r="O4" s="1347"/>
      <c r="P4" s="1347"/>
      <c r="Q4" s="1347"/>
      <c r="R4" s="1347"/>
      <c r="S4" s="1347"/>
      <c r="T4" s="1347"/>
      <c r="U4" s="1347"/>
      <c r="V4" s="1346"/>
      <c r="W4" s="1346"/>
      <c r="X4" s="1346"/>
      <c r="Y4" s="1346"/>
      <c r="Z4" s="1346"/>
      <c r="AA4" s="1346"/>
      <c r="AB4" s="1346"/>
      <c r="AC4" s="586"/>
    </row>
    <row r="5" spans="2:29" ht="33" customHeight="1" x14ac:dyDescent="0.3">
      <c r="B5" s="586"/>
      <c r="C5" s="586"/>
      <c r="D5" s="586"/>
      <c r="E5" s="586"/>
      <c r="F5" s="586"/>
      <c r="G5" s="586"/>
      <c r="H5" s="586"/>
      <c r="I5" s="586"/>
      <c r="J5" s="586"/>
      <c r="K5" s="586"/>
      <c r="L5" s="586"/>
      <c r="M5" s="586"/>
      <c r="N5" s="586"/>
      <c r="O5" s="586"/>
      <c r="P5" s="586"/>
      <c r="Q5" s="586"/>
      <c r="R5" s="586"/>
      <c r="S5" s="586"/>
      <c r="T5" s="586"/>
      <c r="U5" s="586"/>
      <c r="V5" s="586"/>
      <c r="W5" s="586"/>
      <c r="X5" s="586"/>
      <c r="Y5" s="586"/>
      <c r="Z5" s="586"/>
      <c r="AA5" s="586"/>
      <c r="AB5" s="586"/>
      <c r="AC5" s="586"/>
    </row>
    <row r="6" spans="2:29" x14ac:dyDescent="0.3">
      <c r="B6" s="586"/>
      <c r="C6" s="586"/>
      <c r="D6" s="586"/>
      <c r="E6" s="586"/>
      <c r="F6" s="586"/>
      <c r="G6" s="586"/>
      <c r="H6" s="586"/>
      <c r="I6" s="586"/>
      <c r="J6" s="586"/>
      <c r="K6" s="586"/>
      <c r="L6" s="586"/>
      <c r="M6" s="586"/>
      <c r="N6" s="586"/>
      <c r="O6" s="586"/>
      <c r="P6" s="586"/>
      <c r="Q6" s="586"/>
      <c r="R6" s="586"/>
      <c r="S6" s="586"/>
      <c r="T6" s="586"/>
      <c r="U6" s="586"/>
      <c r="V6" s="586"/>
      <c r="W6" s="586"/>
      <c r="X6" s="586"/>
      <c r="Y6" s="586"/>
      <c r="Z6" s="586"/>
      <c r="AA6" s="586"/>
      <c r="AB6" s="586"/>
      <c r="AC6" s="586"/>
    </row>
    <row r="7" spans="2:29" ht="14.85" customHeight="1" x14ac:dyDescent="0.3">
      <c r="B7" s="1280" t="s">
        <v>453</v>
      </c>
      <c r="C7" s="1281"/>
      <c r="D7" s="1290" t="s">
        <v>325</v>
      </c>
      <c r="E7" s="1291"/>
      <c r="F7" s="1291"/>
      <c r="G7" s="1291"/>
      <c r="H7" s="1291"/>
      <c r="I7" s="1291"/>
      <c r="J7" s="1291"/>
      <c r="K7" s="1291"/>
      <c r="L7" s="1291"/>
      <c r="M7" s="1291"/>
      <c r="N7" s="1291"/>
      <c r="O7" s="1291"/>
      <c r="P7" s="1291"/>
      <c r="Q7" s="1316"/>
      <c r="R7" s="1316"/>
      <c r="S7" s="1316"/>
      <c r="T7" s="1281"/>
      <c r="U7" s="1294" t="s">
        <v>326</v>
      </c>
      <c r="V7" s="1294"/>
      <c r="W7" s="1294"/>
      <c r="X7" s="1294"/>
      <c r="Y7" s="1294"/>
      <c r="Z7" s="1294"/>
      <c r="AA7" s="1294"/>
      <c r="AB7" s="1294"/>
      <c r="AC7" s="1295"/>
    </row>
    <row r="8" spans="2:29" x14ac:dyDescent="0.3">
      <c r="B8" s="1282"/>
      <c r="C8" s="1340"/>
      <c r="D8" s="157">
        <v>2018</v>
      </c>
      <c r="E8" s="1273">
        <v>2019</v>
      </c>
      <c r="F8" s="1278"/>
      <c r="G8" s="1278"/>
      <c r="H8" s="1279"/>
      <c r="I8" s="1273">
        <v>2020</v>
      </c>
      <c r="J8" s="1278"/>
      <c r="K8" s="1278"/>
      <c r="L8" s="1278"/>
      <c r="M8" s="1273">
        <v>2021</v>
      </c>
      <c r="N8" s="1278"/>
      <c r="O8" s="1278"/>
      <c r="P8" s="1278"/>
      <c r="Q8" s="1273">
        <v>2022</v>
      </c>
      <c r="R8" s="1274"/>
      <c r="S8" s="1274"/>
      <c r="T8" s="1279"/>
      <c r="U8" s="1284">
        <v>2023</v>
      </c>
      <c r="V8" s="1285"/>
      <c r="W8" s="1285"/>
      <c r="X8" s="1285"/>
      <c r="Y8" s="1287">
        <v>2024</v>
      </c>
      <c r="Z8" s="1285"/>
      <c r="AA8" s="1285"/>
      <c r="AB8" s="1286"/>
      <c r="AC8" s="233">
        <v>2025</v>
      </c>
    </row>
    <row r="9" spans="2:29" x14ac:dyDescent="0.3">
      <c r="B9" s="1282"/>
      <c r="C9" s="1340"/>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0" t="s">
        <v>328</v>
      </c>
      <c r="V9" s="280" t="s">
        <v>329</v>
      </c>
      <c r="W9" s="280" t="s">
        <v>238</v>
      </c>
      <c r="X9" s="280" t="s">
        <v>327</v>
      </c>
      <c r="Y9" s="348" t="s">
        <v>328</v>
      </c>
      <c r="Z9" s="228" t="s">
        <v>329</v>
      </c>
      <c r="AA9" s="280" t="s">
        <v>238</v>
      </c>
      <c r="AB9" s="278" t="s">
        <v>327</v>
      </c>
      <c r="AC9" s="373" t="s">
        <v>328</v>
      </c>
    </row>
    <row r="10" spans="2:29" x14ac:dyDescent="0.3">
      <c r="B10" s="566" t="s">
        <v>101</v>
      </c>
      <c r="C10" s="460" t="s">
        <v>479</v>
      </c>
      <c r="D10" s="548">
        <f>'Haver Pivoted'!GO13</f>
        <v>589.5</v>
      </c>
      <c r="E10" s="549">
        <f>'Haver Pivoted'!GP13</f>
        <v>598.70000000000005</v>
      </c>
      <c r="F10" s="549">
        <f>'Haver Pivoted'!GQ13</f>
        <v>614.4</v>
      </c>
      <c r="G10" s="549">
        <f>'Haver Pivoted'!GR13</f>
        <v>622.4</v>
      </c>
      <c r="H10" s="549">
        <f>'Haver Pivoted'!GS13</f>
        <v>620.70000000000005</v>
      </c>
      <c r="I10" s="549">
        <f>'Haver Pivoted'!GT13</f>
        <v>606.6</v>
      </c>
      <c r="J10" s="549">
        <f>'Haver Pivoted'!GU13</f>
        <v>654.70000000000005</v>
      </c>
      <c r="K10" s="549">
        <f>'Haver Pivoted'!GV13</f>
        <v>690.7</v>
      </c>
      <c r="L10" s="549">
        <f>'Haver Pivoted'!GW13</f>
        <v>678.3</v>
      </c>
      <c r="M10" s="549">
        <f>'Haver Pivoted'!GX13</f>
        <v>704.4</v>
      </c>
      <c r="N10" s="549">
        <f>'Haver Pivoted'!GY13</f>
        <v>744.8</v>
      </c>
      <c r="O10" s="549">
        <f>'Haver Pivoted'!GZ13</f>
        <v>748.2</v>
      </c>
      <c r="P10" s="549">
        <f>'Haver Pivoted'!HA13</f>
        <v>745</v>
      </c>
      <c r="Q10" s="549">
        <f>'Haver Pivoted'!HB13</f>
        <v>763.1</v>
      </c>
      <c r="R10" s="549">
        <f>'Haver Pivoted'!HC13</f>
        <v>789.5</v>
      </c>
      <c r="S10" s="550">
        <f>'Haver Pivoted'!HD13</f>
        <v>786.1</v>
      </c>
      <c r="T10" s="551">
        <f>'Haver Pivoted'!HE13</f>
        <v>793.3</v>
      </c>
      <c r="U10" s="196"/>
      <c r="V10" s="196"/>
      <c r="W10" s="196"/>
      <c r="X10" s="196"/>
      <c r="Y10" s="196"/>
      <c r="Z10" s="196"/>
      <c r="AA10" s="196"/>
      <c r="AB10" s="196"/>
      <c r="AC10" s="197"/>
    </row>
    <row r="11" spans="2:29" x14ac:dyDescent="0.3">
      <c r="B11" s="544" t="s">
        <v>480</v>
      </c>
      <c r="C11" s="213" t="s">
        <v>386</v>
      </c>
      <c r="D11" s="582">
        <f>'Haver Pivoted'!GO40</f>
        <v>390.53500000000003</v>
      </c>
      <c r="E11" s="545">
        <f>'Haver Pivoted'!GP40</f>
        <v>407.62099999999998</v>
      </c>
      <c r="F11" s="545">
        <f>'Haver Pivoted'!GQ40</f>
        <v>416.459</v>
      </c>
      <c r="G11" s="545">
        <f>'Haver Pivoted'!GR40</f>
        <v>418.661</v>
      </c>
      <c r="H11" s="545">
        <f>'Haver Pivoted'!GS40</f>
        <v>411.69499999999999</v>
      </c>
      <c r="I11" s="545">
        <f>'Haver Pivoted'!GT40</f>
        <v>428.30799999999999</v>
      </c>
      <c r="J11" s="545">
        <f>'Haver Pivoted'!GU40</f>
        <v>506.81599999999997</v>
      </c>
      <c r="K11" s="545">
        <f>'Haver Pivoted'!GV40</f>
        <v>484.78</v>
      </c>
      <c r="L11" s="545">
        <f>'Haver Pivoted'!GW40</f>
        <v>500.25799999999998</v>
      </c>
      <c r="M11" s="545">
        <f>'Haver Pivoted'!GX40</f>
        <v>509.42099999999999</v>
      </c>
      <c r="N11" s="545">
        <f>'Haver Pivoted'!GY40</f>
        <v>527.01700000000005</v>
      </c>
      <c r="O11" s="545">
        <f>'Haver Pivoted'!GZ40</f>
        <v>542.85299999999995</v>
      </c>
      <c r="P11" s="545">
        <f>'Haver Pivoted'!HA40</f>
        <v>553.86500000000001</v>
      </c>
      <c r="Q11" s="545">
        <f>'Haver Pivoted'!HB40</f>
        <v>592.26700000000005</v>
      </c>
      <c r="R11" s="545">
        <f>'Haver Pivoted'!HC40</f>
        <v>590.13</v>
      </c>
      <c r="S11" s="546">
        <f>'Haver Pivoted'!HD40</f>
        <v>605.63699999999994</v>
      </c>
      <c r="T11" s="547">
        <f>'Haver Pivoted'!HE40</f>
        <v>604.87400000000002</v>
      </c>
      <c r="U11" s="280"/>
      <c r="V11" s="280"/>
      <c r="W11" s="280"/>
      <c r="X11" s="280"/>
      <c r="Y11" s="280"/>
      <c r="Z11" s="280"/>
      <c r="AA11" s="280"/>
      <c r="AB11" s="280"/>
      <c r="AC11" s="278"/>
    </row>
    <row r="12" spans="2:29" ht="27.6" customHeight="1" x14ac:dyDescent="0.3">
      <c r="B12" s="494" t="s">
        <v>954</v>
      </c>
      <c r="C12" s="36"/>
      <c r="D12" s="585">
        <f t="shared" ref="D12:N12" si="0">D11/D10</f>
        <v>0.66248515691263787</v>
      </c>
      <c r="E12" s="565">
        <f t="shared" si="0"/>
        <v>0.68084349423751456</v>
      </c>
      <c r="F12" s="565">
        <f t="shared" si="0"/>
        <v>0.67783040364583336</v>
      </c>
      <c r="G12" s="565">
        <f t="shared" si="0"/>
        <v>0.6726558483290489</v>
      </c>
      <c r="H12" s="565">
        <f t="shared" si="0"/>
        <v>0.66327533429998387</v>
      </c>
      <c r="I12" s="565">
        <f t="shared" si="0"/>
        <v>0.70607978898780077</v>
      </c>
      <c r="J12" s="565">
        <f t="shared" si="0"/>
        <v>0.77411944402016186</v>
      </c>
      <c r="K12" s="565">
        <f t="shared" si="0"/>
        <v>0.70186767047922394</v>
      </c>
      <c r="L12" s="565">
        <f t="shared" si="0"/>
        <v>0.73751732271856119</v>
      </c>
      <c r="M12" s="565">
        <f t="shared" si="0"/>
        <v>0.72319846678023847</v>
      </c>
      <c r="N12" s="565">
        <f t="shared" si="0"/>
        <v>0.70759532760472621</v>
      </c>
      <c r="O12" s="565">
        <f t="shared" ref="O12:T12" si="1">O11/O10</f>
        <v>0.72554530874097822</v>
      </c>
      <c r="P12" s="565">
        <f t="shared" si="1"/>
        <v>0.74344295302013419</v>
      </c>
      <c r="Q12" s="565">
        <f t="shared" si="1"/>
        <v>0.77613287904599659</v>
      </c>
      <c r="R12" s="565">
        <f t="shared" si="1"/>
        <v>0.74747308423052561</v>
      </c>
      <c r="S12" s="552">
        <f t="shared" si="1"/>
        <v>0.77043251494720766</v>
      </c>
      <c r="T12" s="562">
        <f t="shared" si="1"/>
        <v>0.76247825538888192</v>
      </c>
      <c r="U12" s="588">
        <f t="shared" ref="U12:Y12" si="2">T12</f>
        <v>0.76247825538888192</v>
      </c>
      <c r="V12" s="588">
        <v>0.73699999999999999</v>
      </c>
      <c r="W12" s="588">
        <f>U12-0.05</f>
        <v>0.71247825538888188</v>
      </c>
      <c r="X12" s="588">
        <f>W12++(I50-H50)</f>
        <v>0.71193453023272057</v>
      </c>
      <c r="Y12" s="588">
        <f t="shared" si="2"/>
        <v>0.71193453023272057</v>
      </c>
      <c r="Z12" s="588">
        <f t="shared" ref="Z12" si="3">Y12</f>
        <v>0.71193453023272057</v>
      </c>
      <c r="AA12" s="588">
        <f t="shared" ref="AA12" si="4">Z12</f>
        <v>0.71193453023272057</v>
      </c>
      <c r="AB12" s="588">
        <f>AA12+(J50-I50)</f>
        <v>0.70706797713788805</v>
      </c>
      <c r="AC12" s="589">
        <f t="shared" ref="AC12" si="5">AB12</f>
        <v>0.70706797713788805</v>
      </c>
    </row>
    <row r="13" spans="2:29" ht="27.6" customHeight="1" x14ac:dyDescent="0.3">
      <c r="T13" s="1217">
        <v>0.77083227122100428</v>
      </c>
      <c r="U13" s="1218">
        <v>0.77083227122100428</v>
      </c>
      <c r="V13" s="1218">
        <v>0.73699999999999999</v>
      </c>
      <c r="W13" s="1218">
        <v>0.72083227122100424</v>
      </c>
      <c r="X13" s="1218">
        <v>0.72028854606484294</v>
      </c>
      <c r="Y13" s="1218">
        <v>0.72028854606484294</v>
      </c>
      <c r="Z13" s="1218">
        <v>0.72028854606484294</v>
      </c>
      <c r="AA13" s="1218">
        <v>0.72028854606484294</v>
      </c>
      <c r="AB13" s="1218">
        <v>0.71542199297001041</v>
      </c>
      <c r="AC13" s="1219">
        <v>0.71542199297001041</v>
      </c>
    </row>
    <row r="15" spans="2:29" x14ac:dyDescent="0.3">
      <c r="B15" s="491" t="s">
        <v>399</v>
      </c>
    </row>
    <row r="16" spans="2:29" ht="25.35" customHeight="1" x14ac:dyDescent="0.3">
      <c r="B16" s="539" t="s">
        <v>481</v>
      </c>
      <c r="C16" s="540">
        <v>2020</v>
      </c>
      <c r="D16" s="540">
        <v>2021</v>
      </c>
      <c r="E16" s="540">
        <v>2022</v>
      </c>
      <c r="F16" s="540">
        <v>2023</v>
      </c>
      <c r="G16" s="541">
        <v>2024</v>
      </c>
      <c r="H16" s="209"/>
      <c r="I16" s="209"/>
      <c r="J16" s="209"/>
    </row>
    <row r="17" spans="2:29" ht="31.5" customHeight="1" x14ac:dyDescent="0.3">
      <c r="B17" s="584" t="s">
        <v>1915</v>
      </c>
      <c r="C17" s="534">
        <v>458.46800000000002</v>
      </c>
      <c r="D17" s="241">
        <v>520.58799999999997</v>
      </c>
      <c r="E17" s="241">
        <v>591.95000000000005</v>
      </c>
      <c r="F17" s="241">
        <v>589.41600000000005</v>
      </c>
      <c r="G17" s="536">
        <v>538.94399999999996</v>
      </c>
    </row>
    <row r="18" spans="2:29" x14ac:dyDescent="0.3">
      <c r="B18" s="544" t="s">
        <v>482</v>
      </c>
      <c r="C18" s="535">
        <f>AVERAGE(H12:K12)</f>
        <v>0.7113355594467925</v>
      </c>
      <c r="D18" s="535">
        <f>AVERAGE(L12:O12)</f>
        <v>0.72346410646112602</v>
      </c>
      <c r="E18" s="535">
        <f>AVERAGE(P12:S12)</f>
        <v>0.75937035781096596</v>
      </c>
      <c r="F18" s="535">
        <f>AVERAGE(T12:W12)</f>
        <v>0.74360869154166143</v>
      </c>
      <c r="G18" s="563">
        <f>AVERAGE(X12:AA12)</f>
        <v>0.71193453023272057</v>
      </c>
    </row>
    <row r="19" spans="2:29" x14ac:dyDescent="0.3">
      <c r="B19" s="544" t="s">
        <v>483</v>
      </c>
      <c r="C19" s="209">
        <f>C17/C18</f>
        <v>644.51719573326511</v>
      </c>
      <c r="D19" s="209">
        <f>D17/D18</f>
        <v>719.5768184637268</v>
      </c>
      <c r="E19" s="209">
        <f>E17/E18</f>
        <v>779.52739912894685</v>
      </c>
      <c r="F19" s="209">
        <f>F17/F18</f>
        <v>792.64269864572634</v>
      </c>
      <c r="G19" s="542">
        <f>G17/G18</f>
        <v>757.0134290632418</v>
      </c>
    </row>
    <row r="20" spans="2:29" ht="32.25" customHeight="1" x14ac:dyDescent="0.3">
      <c r="B20" s="494" t="s">
        <v>484</v>
      </c>
      <c r="C20" s="537"/>
      <c r="D20" s="565">
        <f>D19/C19-1</f>
        <v>0.11645868136235937</v>
      </c>
      <c r="E20" s="565">
        <f t="shared" ref="E20:G20" si="6">E19/D19-1</f>
        <v>8.3313663151646011E-2</v>
      </c>
      <c r="F20" s="565">
        <f>F19/E19-1</f>
        <v>1.6824680609603515E-2</v>
      </c>
      <c r="G20" s="587">
        <f t="shared" si="6"/>
        <v>-4.4949975119128793E-2</v>
      </c>
      <c r="I20" s="569"/>
      <c r="J20" s="569"/>
      <c r="K20" s="569"/>
      <c r="L20" s="569"/>
      <c r="R20" s="35"/>
      <c r="S20" s="564"/>
      <c r="T20" s="564"/>
      <c r="U20" s="564"/>
    </row>
    <row r="22" spans="2:29" x14ac:dyDescent="0.3">
      <c r="B22" s="491" t="s">
        <v>412</v>
      </c>
    </row>
    <row r="23" spans="2:29" x14ac:dyDescent="0.3">
      <c r="B23" s="1280" t="s">
        <v>485</v>
      </c>
      <c r="C23" s="1339"/>
      <c r="D23" s="1290" t="s">
        <v>325</v>
      </c>
      <c r="E23" s="1291"/>
      <c r="F23" s="1291"/>
      <c r="G23" s="1291"/>
      <c r="H23" s="1291"/>
      <c r="I23" s="1291"/>
      <c r="J23" s="1291"/>
      <c r="K23" s="1291"/>
      <c r="L23" s="1291"/>
      <c r="M23" s="1291"/>
      <c r="N23" s="1291"/>
      <c r="O23" s="1291"/>
      <c r="P23" s="1291"/>
      <c r="Q23" s="1316"/>
      <c r="R23" s="1316"/>
      <c r="S23" s="1316"/>
      <c r="T23" s="1281"/>
      <c r="U23" s="1294" t="s">
        <v>326</v>
      </c>
      <c r="V23" s="1294"/>
      <c r="W23" s="1294"/>
      <c r="X23" s="1294"/>
      <c r="Y23" s="1294"/>
      <c r="Z23" s="1294"/>
      <c r="AA23" s="1294"/>
      <c r="AB23" s="1294"/>
      <c r="AC23" s="1295"/>
    </row>
    <row r="24" spans="2:29" x14ac:dyDescent="0.3">
      <c r="B24" s="1282"/>
      <c r="C24" s="1340"/>
      <c r="D24" s="157">
        <v>2018</v>
      </c>
      <c r="E24" s="1273">
        <v>2019</v>
      </c>
      <c r="F24" s="1278"/>
      <c r="G24" s="1278"/>
      <c r="H24" s="1279"/>
      <c r="I24" s="1273">
        <v>2020</v>
      </c>
      <c r="J24" s="1278"/>
      <c r="K24" s="1278"/>
      <c r="L24" s="1278"/>
      <c r="M24" s="1273">
        <v>2021</v>
      </c>
      <c r="N24" s="1278"/>
      <c r="O24" s="1278"/>
      <c r="P24" s="1278"/>
      <c r="Q24" s="1273">
        <v>2022</v>
      </c>
      <c r="R24" s="1274"/>
      <c r="S24" s="1274"/>
      <c r="T24" s="1279"/>
      <c r="U24" s="1284">
        <v>2023</v>
      </c>
      <c r="V24" s="1285"/>
      <c r="W24" s="1285"/>
      <c r="X24" s="1285"/>
      <c r="Y24" s="1287">
        <v>2024</v>
      </c>
      <c r="Z24" s="1285"/>
      <c r="AA24" s="1285"/>
      <c r="AB24" s="1286"/>
      <c r="AC24" s="233">
        <v>2025</v>
      </c>
    </row>
    <row r="25" spans="2:29" x14ac:dyDescent="0.3">
      <c r="B25" s="1296"/>
      <c r="C25" s="1341"/>
      <c r="D25" s="163" t="s">
        <v>327</v>
      </c>
      <c r="E25" s="163" t="s">
        <v>328</v>
      </c>
      <c r="F25" s="176" t="s">
        <v>329</v>
      </c>
      <c r="G25" s="176" t="s">
        <v>238</v>
      </c>
      <c r="H25" s="159" t="s">
        <v>327</v>
      </c>
      <c r="I25" s="176" t="s">
        <v>328</v>
      </c>
      <c r="J25" s="176" t="s">
        <v>329</v>
      </c>
      <c r="K25" s="176" t="s">
        <v>238</v>
      </c>
      <c r="L25" s="176" t="s">
        <v>327</v>
      </c>
      <c r="M25" s="163" t="s">
        <v>328</v>
      </c>
      <c r="N25" s="176" t="s">
        <v>329</v>
      </c>
      <c r="O25" s="176" t="s">
        <v>238</v>
      </c>
      <c r="P25" s="176" t="s">
        <v>327</v>
      </c>
      <c r="Q25" s="163" t="s">
        <v>328</v>
      </c>
      <c r="R25" s="176" t="s">
        <v>329</v>
      </c>
      <c r="S25" s="176" t="s">
        <v>238</v>
      </c>
      <c r="T25" s="159" t="s">
        <v>327</v>
      </c>
      <c r="U25" s="280" t="s">
        <v>328</v>
      </c>
      <c r="V25" s="280" t="s">
        <v>329</v>
      </c>
      <c r="W25" s="280" t="s">
        <v>238</v>
      </c>
      <c r="X25" s="280" t="s">
        <v>327</v>
      </c>
      <c r="Y25" s="348" t="s">
        <v>328</v>
      </c>
      <c r="Z25" s="228" t="s">
        <v>329</v>
      </c>
      <c r="AA25" s="280" t="s">
        <v>238</v>
      </c>
      <c r="AB25" s="278" t="s">
        <v>327</v>
      </c>
      <c r="AC25" s="373" t="s">
        <v>328</v>
      </c>
    </row>
    <row r="26" spans="2:29" ht="19.5" customHeight="1" x14ac:dyDescent="0.3">
      <c r="B26" s="579" t="s">
        <v>486</v>
      </c>
      <c r="C26" s="580"/>
      <c r="D26" s="555">
        <f t="shared" ref="D26:T26" si="7">D10</f>
        <v>589.5</v>
      </c>
      <c r="E26" s="556">
        <f t="shared" si="7"/>
        <v>598.70000000000005</v>
      </c>
      <c r="F26" s="556">
        <f t="shared" si="7"/>
        <v>614.4</v>
      </c>
      <c r="G26" s="556">
        <f t="shared" si="7"/>
        <v>622.4</v>
      </c>
      <c r="H26" s="556">
        <f t="shared" si="7"/>
        <v>620.70000000000005</v>
      </c>
      <c r="I26" s="556">
        <f t="shared" si="7"/>
        <v>606.6</v>
      </c>
      <c r="J26" s="556">
        <f t="shared" si="7"/>
        <v>654.70000000000005</v>
      </c>
      <c r="K26" s="556">
        <f t="shared" si="7"/>
        <v>690.7</v>
      </c>
      <c r="L26" s="556">
        <f t="shared" si="7"/>
        <v>678.3</v>
      </c>
      <c r="M26" s="556">
        <f t="shared" si="7"/>
        <v>704.4</v>
      </c>
      <c r="N26" s="556">
        <f t="shared" si="7"/>
        <v>744.8</v>
      </c>
      <c r="O26" s="556">
        <f t="shared" si="7"/>
        <v>748.2</v>
      </c>
      <c r="P26" s="556">
        <f t="shared" si="7"/>
        <v>745</v>
      </c>
      <c r="Q26" s="556">
        <f t="shared" si="7"/>
        <v>763.1</v>
      </c>
      <c r="R26" s="556">
        <f t="shared" si="7"/>
        <v>789.5</v>
      </c>
      <c r="S26" s="557">
        <f t="shared" si="7"/>
        <v>786.1</v>
      </c>
      <c r="T26" s="558">
        <f t="shared" si="7"/>
        <v>793.3</v>
      </c>
      <c r="U26" s="578">
        <f>T26*(1+$F$20)^0.25</f>
        <v>796.61590660115485</v>
      </c>
      <c r="V26" s="578">
        <f>U26*(1+$F$20)^0.25</f>
        <v>799.94567332658505</v>
      </c>
      <c r="W26" s="578">
        <f>V26*(1+$F$20)^0.25</f>
        <v>803.28935811008296</v>
      </c>
      <c r="X26" s="578">
        <f t="shared" ref="X26:AC26" si="8">W26*(1+$G$20)^0.25</f>
        <v>794.10612096664613</v>
      </c>
      <c r="Y26" s="578">
        <f t="shared" si="8"/>
        <v>785.02786696979422</v>
      </c>
      <c r="Z26" s="578">
        <f t="shared" si="8"/>
        <v>776.05339594785642</v>
      </c>
      <c r="AA26" s="578">
        <f t="shared" si="8"/>
        <v>767.18152144957389</v>
      </c>
      <c r="AB26" s="578">
        <f t="shared" si="8"/>
        <v>758.41107058724765</v>
      </c>
      <c r="AC26" s="568">
        <f t="shared" si="8"/>
        <v>749.74088388167945</v>
      </c>
    </row>
    <row r="27" spans="2:29" ht="19.5" customHeight="1" x14ac:dyDescent="0.3">
      <c r="B27" s="567" t="s">
        <v>1789</v>
      </c>
      <c r="C27" s="232"/>
      <c r="D27" s="581"/>
      <c r="E27" s="553"/>
      <c r="F27" s="553"/>
      <c r="G27" s="553"/>
      <c r="H27" s="553"/>
      <c r="I27" s="553"/>
      <c r="J27" s="553"/>
      <c r="K27" s="553"/>
      <c r="L27" s="553"/>
      <c r="M27" s="553"/>
      <c r="N27" s="553"/>
      <c r="O27" s="553"/>
      <c r="P27" s="553"/>
      <c r="Q27" s="553"/>
      <c r="R27" s="553"/>
      <c r="S27" s="554"/>
      <c r="T27" s="590"/>
      <c r="U27" s="561"/>
      <c r="V27" s="561"/>
      <c r="W27" s="561"/>
      <c r="X27" s="561"/>
      <c r="Y27" s="561"/>
      <c r="Z27" s="561"/>
      <c r="AA27" s="561"/>
      <c r="AB27" s="561"/>
      <c r="AC27" s="561"/>
    </row>
    <row r="28" spans="2:29" ht="19.350000000000001" customHeight="1" x14ac:dyDescent="0.3">
      <c r="B28" s="567" t="s">
        <v>207</v>
      </c>
      <c r="C28" s="232"/>
      <c r="D28" s="581">
        <f t="shared" ref="D28:Q28" si="9">D10*D12</f>
        <v>390.53500000000003</v>
      </c>
      <c r="E28" s="553">
        <f t="shared" si="9"/>
        <v>407.62099999999998</v>
      </c>
      <c r="F28" s="553">
        <f t="shared" si="9"/>
        <v>416.459</v>
      </c>
      <c r="G28" s="553">
        <f t="shared" si="9"/>
        <v>418.661</v>
      </c>
      <c r="H28" s="553">
        <f t="shared" si="9"/>
        <v>411.69499999999999</v>
      </c>
      <c r="I28" s="553">
        <f t="shared" si="9"/>
        <v>428.30799999999994</v>
      </c>
      <c r="J28" s="553">
        <f t="shared" si="9"/>
        <v>506.81600000000003</v>
      </c>
      <c r="K28" s="553">
        <f t="shared" si="9"/>
        <v>484.78000000000003</v>
      </c>
      <c r="L28" s="553">
        <f t="shared" si="9"/>
        <v>500.25800000000004</v>
      </c>
      <c r="M28" s="553">
        <f t="shared" si="9"/>
        <v>509.42099999999994</v>
      </c>
      <c r="N28" s="553">
        <f t="shared" si="9"/>
        <v>527.01700000000005</v>
      </c>
      <c r="O28" s="553">
        <f t="shared" si="9"/>
        <v>542.85299999999995</v>
      </c>
      <c r="P28" s="553">
        <f t="shared" si="9"/>
        <v>553.86500000000001</v>
      </c>
      <c r="Q28" s="553">
        <f t="shared" si="9"/>
        <v>592.26700000000005</v>
      </c>
      <c r="R28" s="553">
        <f t="shared" ref="R28:AC28" si="10">R26*R12</f>
        <v>590.13</v>
      </c>
      <c r="S28" s="553">
        <f t="shared" si="10"/>
        <v>605.63699999999994</v>
      </c>
      <c r="T28" s="559">
        <f t="shared" si="10"/>
        <v>604.87400000000002</v>
      </c>
      <c r="U28" s="561">
        <f t="shared" si="10"/>
        <v>607.40230668028107</v>
      </c>
      <c r="V28" s="561">
        <f t="shared" si="10"/>
        <v>589.55996124169314</v>
      </c>
      <c r="W28" s="561">
        <f t="shared" si="10"/>
        <v>572.32620043872669</v>
      </c>
      <c r="X28" s="561">
        <f t="shared" si="10"/>
        <v>565.35156818531721</v>
      </c>
      <c r="Y28" s="561">
        <f t="shared" si="10"/>
        <v>558.88844569073513</v>
      </c>
      <c r="Z28" s="561">
        <f t="shared" si="10"/>
        <v>552.4992098796447</v>
      </c>
      <c r="AA28" s="561">
        <f t="shared" si="10"/>
        <v>546.18301607642627</v>
      </c>
      <c r="AB28" s="561">
        <f t="shared" si="10"/>
        <v>536.24818151910517</v>
      </c>
      <c r="AC28" s="561">
        <f t="shared" si="10"/>
        <v>530.11777014379129</v>
      </c>
    </row>
    <row r="29" spans="2:29" ht="19.350000000000001" customHeight="1" x14ac:dyDescent="0.3">
      <c r="B29" s="263" t="s">
        <v>487</v>
      </c>
      <c r="C29" s="264"/>
      <c r="D29" s="583">
        <f t="shared" ref="D29:G29" si="11">D26-D28</f>
        <v>198.96499999999997</v>
      </c>
      <c r="E29" s="538">
        <f t="shared" si="11"/>
        <v>191.07900000000006</v>
      </c>
      <c r="F29" s="538">
        <f t="shared" si="11"/>
        <v>197.94099999999997</v>
      </c>
      <c r="G29" s="538">
        <f t="shared" si="11"/>
        <v>203.73899999999998</v>
      </c>
      <c r="H29" s="538">
        <f t="shared" ref="H29:AC29" si="12">H26-H28</f>
        <v>209.00500000000005</v>
      </c>
      <c r="I29" s="538">
        <f t="shared" si="12"/>
        <v>178.29200000000009</v>
      </c>
      <c r="J29" s="538">
        <f t="shared" si="12"/>
        <v>147.88400000000001</v>
      </c>
      <c r="K29" s="538">
        <f t="shared" si="12"/>
        <v>205.92000000000002</v>
      </c>
      <c r="L29" s="538">
        <f t="shared" si="12"/>
        <v>178.04199999999992</v>
      </c>
      <c r="M29" s="538">
        <f t="shared" si="12"/>
        <v>194.97900000000004</v>
      </c>
      <c r="N29" s="538">
        <f t="shared" si="12"/>
        <v>217.7829999999999</v>
      </c>
      <c r="O29" s="538">
        <f>O26-O28</f>
        <v>205.34700000000009</v>
      </c>
      <c r="P29" s="538">
        <f>P26-P28</f>
        <v>191.13499999999999</v>
      </c>
      <c r="Q29" s="538">
        <f t="shared" si="12"/>
        <v>170.83299999999997</v>
      </c>
      <c r="R29" s="538">
        <f t="shared" si="12"/>
        <v>199.37</v>
      </c>
      <c r="S29" s="538">
        <f t="shared" si="12"/>
        <v>180.46300000000008</v>
      </c>
      <c r="T29" s="560">
        <f t="shared" si="12"/>
        <v>188.42599999999993</v>
      </c>
      <c r="U29" s="576">
        <f t="shared" si="12"/>
        <v>189.21359992087378</v>
      </c>
      <c r="V29" s="576">
        <f t="shared" si="12"/>
        <v>210.38571208489191</v>
      </c>
      <c r="W29" s="576">
        <f t="shared" si="12"/>
        <v>230.96315767135627</v>
      </c>
      <c r="X29" s="576">
        <f t="shared" si="12"/>
        <v>228.75455278132893</v>
      </c>
      <c r="Y29" s="576">
        <f t="shared" si="12"/>
        <v>226.13942127905909</v>
      </c>
      <c r="Z29" s="576">
        <f t="shared" si="12"/>
        <v>223.55418606821172</v>
      </c>
      <c r="AA29" s="576">
        <f t="shared" si="12"/>
        <v>220.99850537314762</v>
      </c>
      <c r="AB29" s="576">
        <f t="shared" si="12"/>
        <v>222.16288906814248</v>
      </c>
      <c r="AC29" s="577">
        <f t="shared" si="12"/>
        <v>219.62311373788816</v>
      </c>
    </row>
    <row r="30" spans="2:29" ht="19.350000000000001" customHeight="1" x14ac:dyDescent="0.3">
      <c r="B30" s="1202"/>
      <c r="C30" s="1202"/>
      <c r="D30" s="1203"/>
      <c r="E30" s="1203"/>
      <c r="F30" s="1203"/>
      <c r="G30" s="1203"/>
      <c r="H30" s="1203"/>
      <c r="I30" s="1203"/>
      <c r="J30" s="1203"/>
      <c r="K30" s="1203"/>
      <c r="L30" s="1203"/>
      <c r="M30" s="1203"/>
      <c r="N30" s="1203"/>
      <c r="O30" s="1203"/>
      <c r="P30" s="1215" t="s">
        <v>486</v>
      </c>
      <c r="Q30" s="1203"/>
      <c r="R30" s="1203"/>
      <c r="S30" s="1203"/>
      <c r="T30" s="1206">
        <v>784.6</v>
      </c>
      <c r="U30" s="1207">
        <v>786.22859405082568</v>
      </c>
      <c r="V30" s="1207">
        <v>787.86056857397148</v>
      </c>
      <c r="W30" s="1207">
        <v>789.49593058628307</v>
      </c>
      <c r="X30" s="1207">
        <v>779.83155088112517</v>
      </c>
      <c r="Y30" s="1207">
        <v>770.28547480676127</v>
      </c>
      <c r="Z30" s="1207">
        <v>760.85625418446853</v>
      </c>
      <c r="AA30" s="1207">
        <v>751.54245856297325</v>
      </c>
      <c r="AB30" s="1207">
        <v>742.34267500144574</v>
      </c>
      <c r="AC30" s="1208">
        <v>733.25550785515156</v>
      </c>
    </row>
    <row r="31" spans="2:29" ht="19.350000000000001" customHeight="1" x14ac:dyDescent="0.3">
      <c r="B31" s="1202"/>
      <c r="C31" s="1202"/>
      <c r="D31" s="1203"/>
      <c r="E31" s="1203"/>
      <c r="F31" s="1203"/>
      <c r="G31" s="1203"/>
      <c r="H31" s="1203"/>
      <c r="I31" s="1203"/>
      <c r="J31" s="1203"/>
      <c r="K31" s="1203"/>
      <c r="L31" s="1203"/>
      <c r="M31" s="1203"/>
      <c r="N31" s="1203"/>
      <c r="O31" s="1203"/>
      <c r="P31" s="1205" t="s">
        <v>1789</v>
      </c>
      <c r="Q31" s="1203"/>
      <c r="R31" s="1203"/>
      <c r="S31" s="1203"/>
      <c r="T31" s="1209"/>
      <c r="U31" s="1210"/>
      <c r="V31" s="1210"/>
      <c r="W31" s="1210"/>
      <c r="X31" s="1210"/>
      <c r="Y31" s="1210"/>
      <c r="Z31" s="1210"/>
      <c r="AA31" s="1210"/>
      <c r="AB31" s="1210"/>
      <c r="AC31" s="1210"/>
    </row>
    <row r="32" spans="2:29" ht="19.350000000000001" customHeight="1" x14ac:dyDescent="0.3">
      <c r="B32" s="1202"/>
      <c r="C32" s="1202"/>
      <c r="D32" s="1203"/>
      <c r="E32" s="1203"/>
      <c r="F32" s="1203"/>
      <c r="G32" s="1203"/>
      <c r="H32" s="1203"/>
      <c r="I32" s="1203"/>
      <c r="J32" s="1203"/>
      <c r="K32" s="1203"/>
      <c r="L32" s="1203"/>
      <c r="M32" s="1203"/>
      <c r="N32" s="1203"/>
      <c r="O32" s="1203"/>
      <c r="P32" s="1205" t="s">
        <v>207</v>
      </c>
      <c r="Q32" s="1203"/>
      <c r="R32" s="1203"/>
      <c r="S32" s="1203"/>
      <c r="T32" s="1211">
        <v>604.79499999999996</v>
      </c>
      <c r="U32" s="1210">
        <v>606.05037285109495</v>
      </c>
      <c r="V32" s="1210">
        <v>580.65323903901697</v>
      </c>
      <c r="W32" s="1210">
        <v>569.0941447642507</v>
      </c>
      <c r="X32" s="1210">
        <v>561.70373395965726</v>
      </c>
      <c r="Y32" s="1210">
        <v>554.82780470342925</v>
      </c>
      <c r="Z32" s="1210">
        <v>548.03604509087336</v>
      </c>
      <c r="AA32" s="1210">
        <v>541.32742478432147</v>
      </c>
      <c r="AB32" s="1210">
        <v>531.08827601622306</v>
      </c>
      <c r="AC32" s="1210">
        <v>524.58711678596967</v>
      </c>
    </row>
    <row r="33" spans="2:29" ht="19.350000000000001" customHeight="1" x14ac:dyDescent="0.3">
      <c r="B33" s="1202"/>
      <c r="C33" s="1202"/>
      <c r="D33" s="1203"/>
      <c r="E33" s="1203"/>
      <c r="F33" s="1203"/>
      <c r="G33" s="1203"/>
      <c r="H33" s="1203"/>
      <c r="I33" s="1203"/>
      <c r="J33" s="1203"/>
      <c r="K33" s="1203"/>
      <c r="L33" s="1203"/>
      <c r="M33" s="1203"/>
      <c r="N33" s="1203"/>
      <c r="O33" s="1203"/>
      <c r="P33" s="1216" t="s">
        <v>487</v>
      </c>
      <c r="Q33" s="1203"/>
      <c r="R33" s="1203"/>
      <c r="S33" s="1203"/>
      <c r="T33" s="1212">
        <v>179.80500000000006</v>
      </c>
      <c r="U33" s="1213">
        <v>180.17822119973073</v>
      </c>
      <c r="V33" s="1213">
        <v>207.20732953495451</v>
      </c>
      <c r="W33" s="1213">
        <v>220.40178582203237</v>
      </c>
      <c r="X33" s="1213">
        <v>218.12781692146791</v>
      </c>
      <c r="Y33" s="1213">
        <v>215.45767010333202</v>
      </c>
      <c r="Z33" s="1213">
        <v>212.82020909359517</v>
      </c>
      <c r="AA33" s="1213">
        <v>210.21503377865179</v>
      </c>
      <c r="AB33" s="1213">
        <v>211.25439898522268</v>
      </c>
      <c r="AC33" s="1214">
        <v>208.66839106918189</v>
      </c>
    </row>
    <row r="34" spans="2:29" ht="19.350000000000001" customHeight="1" x14ac:dyDescent="0.3">
      <c r="B34" s="1202"/>
      <c r="C34" s="1202"/>
      <c r="D34" s="1203"/>
      <c r="E34" s="1203"/>
      <c r="F34" s="1203"/>
      <c r="G34" s="1203"/>
      <c r="H34" s="1203"/>
      <c r="I34" s="1203"/>
      <c r="J34" s="1203"/>
      <c r="K34" s="1203"/>
      <c r="L34" s="1203"/>
      <c r="M34" s="1203"/>
      <c r="N34" s="1203"/>
      <c r="O34" s="1203"/>
      <c r="P34" s="1203"/>
      <c r="Q34" s="1203"/>
      <c r="R34" s="1203"/>
      <c r="S34" s="1203"/>
      <c r="T34" s="1203"/>
      <c r="U34" s="1204"/>
      <c r="V34" s="1204"/>
      <c r="W34" s="1204"/>
      <c r="X34" s="1204"/>
      <c r="Y34" s="1204"/>
      <c r="Z34" s="1204"/>
      <c r="AA34" s="1204"/>
      <c r="AB34" s="1204"/>
      <c r="AC34" s="1204"/>
    </row>
    <row r="35" spans="2:29" ht="19.350000000000001" customHeight="1" x14ac:dyDescent="0.3">
      <c r="B35" s="1202"/>
      <c r="C35" s="1202"/>
      <c r="D35" s="1203"/>
      <c r="E35" s="1203"/>
      <c r="F35" s="1203"/>
      <c r="G35" s="1203"/>
      <c r="H35" s="1203"/>
      <c r="I35" s="1203"/>
      <c r="J35" s="1203"/>
      <c r="K35" s="1203"/>
      <c r="L35" s="1203"/>
      <c r="M35" s="1203"/>
      <c r="N35" s="1203"/>
      <c r="O35" s="1203"/>
      <c r="P35" s="1203"/>
      <c r="Q35" s="1203"/>
      <c r="R35" s="1203"/>
      <c r="S35" s="1203"/>
      <c r="T35" s="1203"/>
      <c r="U35" s="1204"/>
      <c r="V35" s="1204"/>
      <c r="W35" s="1204"/>
      <c r="X35" s="1204"/>
      <c r="Y35" s="1204"/>
      <c r="Z35" s="1204"/>
      <c r="AA35" s="1204"/>
      <c r="AB35" s="1204"/>
      <c r="AC35" s="1204"/>
    </row>
    <row r="36" spans="2:29" ht="19.350000000000001" customHeight="1" x14ac:dyDescent="0.3">
      <c r="B36" s="213"/>
      <c r="C36" s="213"/>
      <c r="D36" s="545"/>
      <c r="E36" s="545"/>
      <c r="F36" s="545"/>
      <c r="G36" s="545"/>
      <c r="H36" s="545"/>
      <c r="I36" s="545"/>
      <c r="J36" s="545"/>
      <c r="K36" s="545"/>
      <c r="L36" s="545"/>
      <c r="M36" s="545"/>
      <c r="N36" s="545"/>
      <c r="O36" s="545"/>
      <c r="P36" s="545"/>
      <c r="Q36" s="545"/>
      <c r="R36" s="545"/>
      <c r="S36" s="545"/>
      <c r="T36" s="545"/>
      <c r="U36" s="545"/>
      <c r="V36" s="545"/>
      <c r="W36" s="545"/>
      <c r="X36" s="545"/>
      <c r="Y36" s="545"/>
      <c r="Z36" s="545"/>
      <c r="AA36" s="545"/>
      <c r="AB36" s="545"/>
      <c r="AC36" s="545"/>
    </row>
    <row r="37" spans="2:29" ht="14.85" customHeight="1" x14ac:dyDescent="0.3">
      <c r="H37" s="245"/>
      <c r="I37" s="245"/>
      <c r="J37" s="245"/>
      <c r="K37" s="245"/>
      <c r="L37" s="245"/>
      <c r="M37" s="570"/>
      <c r="N37" s="245"/>
      <c r="O37" s="245"/>
    </row>
    <row r="38" spans="2:29" ht="14.85" customHeight="1" x14ac:dyDescent="0.3">
      <c r="B38" s="571" t="s">
        <v>488</v>
      </c>
      <c r="C38" s="572"/>
      <c r="D38" s="572"/>
      <c r="E38" s="573"/>
      <c r="F38" s="574">
        <v>2021</v>
      </c>
      <c r="G38" s="574">
        <v>2022</v>
      </c>
      <c r="H38" s="574">
        <v>2023</v>
      </c>
      <c r="I38" s="574">
        <v>2024</v>
      </c>
      <c r="J38" s="574">
        <v>2025</v>
      </c>
      <c r="K38" s="574">
        <v>2025</v>
      </c>
      <c r="L38" s="574">
        <v>2027</v>
      </c>
      <c r="M38" s="574">
        <v>2028</v>
      </c>
      <c r="N38" s="574">
        <v>2029</v>
      </c>
      <c r="O38" s="574">
        <v>2030</v>
      </c>
      <c r="P38" s="575">
        <v>2031</v>
      </c>
    </row>
    <row r="39" spans="2:29" ht="15" customHeight="1" x14ac:dyDescent="0.3">
      <c r="B39" s="1363" t="s">
        <v>489</v>
      </c>
      <c r="C39" s="1364"/>
      <c r="D39" s="1364"/>
      <c r="E39" s="1365"/>
      <c r="F39" s="209">
        <v>287</v>
      </c>
      <c r="G39" s="209">
        <v>534</v>
      </c>
      <c r="H39" s="209">
        <v>247</v>
      </c>
      <c r="I39" s="209">
        <v>63</v>
      </c>
      <c r="J39" s="209"/>
      <c r="K39" s="209"/>
      <c r="L39" s="209"/>
      <c r="M39" s="209"/>
      <c r="N39" s="209"/>
      <c r="O39" s="209"/>
      <c r="P39" s="542"/>
    </row>
    <row r="40" spans="2:29" ht="15" customHeight="1" x14ac:dyDescent="0.3">
      <c r="B40" s="1354" t="s">
        <v>490</v>
      </c>
      <c r="C40" s="1355"/>
      <c r="D40" s="1355"/>
      <c r="E40" s="1356"/>
      <c r="F40" s="209">
        <v>0</v>
      </c>
      <c r="G40" s="209">
        <v>0</v>
      </c>
      <c r="H40" s="209">
        <v>756</v>
      </c>
      <c r="I40" s="209">
        <v>1249</v>
      </c>
      <c r="J40" s="209">
        <v>1417</v>
      </c>
      <c r="K40" s="209">
        <v>1522</v>
      </c>
      <c r="L40" s="209">
        <v>1107</v>
      </c>
      <c r="M40" s="209"/>
      <c r="N40" s="209"/>
      <c r="O40" s="209"/>
      <c r="P40" s="542"/>
    </row>
    <row r="41" spans="2:29" x14ac:dyDescent="0.3">
      <c r="B41" s="1354" t="s">
        <v>491</v>
      </c>
      <c r="C41" s="1355"/>
      <c r="D41" s="1355"/>
      <c r="E41" s="1356"/>
      <c r="F41" s="209">
        <v>0</v>
      </c>
      <c r="G41" s="209">
        <v>5</v>
      </c>
      <c r="H41" s="209">
        <v>77</v>
      </c>
      <c r="I41" s="209">
        <v>307</v>
      </c>
      <c r="J41" s="209">
        <v>332</v>
      </c>
      <c r="K41" s="209">
        <v>270</v>
      </c>
      <c r="L41" s="209">
        <v>25</v>
      </c>
      <c r="M41" s="209">
        <v>32</v>
      </c>
      <c r="N41" s="209">
        <v>40</v>
      </c>
      <c r="O41" s="209">
        <v>49</v>
      </c>
      <c r="P41" s="542">
        <v>58</v>
      </c>
    </row>
    <row r="42" spans="2:29" ht="32.85" customHeight="1" x14ac:dyDescent="0.3">
      <c r="B42" s="1360" t="s">
        <v>492</v>
      </c>
      <c r="C42" s="1361"/>
      <c r="D42" s="1361"/>
      <c r="E42" s="1362"/>
      <c r="F42" s="209">
        <v>0</v>
      </c>
      <c r="G42" s="209">
        <v>0</v>
      </c>
      <c r="H42" s="209">
        <v>3768</v>
      </c>
      <c r="I42" s="209">
        <v>3428</v>
      </c>
      <c r="J42" s="209">
        <v>2176</v>
      </c>
      <c r="K42" s="209">
        <v>2304</v>
      </c>
      <c r="L42" s="209">
        <v>2129</v>
      </c>
      <c r="M42" s="209">
        <v>1335</v>
      </c>
      <c r="N42" s="209">
        <v>478</v>
      </c>
      <c r="O42" s="209">
        <v>531</v>
      </c>
      <c r="P42" s="542">
        <v>212</v>
      </c>
    </row>
    <row r="43" spans="2:29" ht="32.85" customHeight="1" x14ac:dyDescent="0.3">
      <c r="B43" s="1360" t="s">
        <v>493</v>
      </c>
      <c r="C43" s="1361"/>
      <c r="D43" s="1361"/>
      <c r="E43" s="1362"/>
      <c r="F43" s="209">
        <v>38</v>
      </c>
      <c r="G43" s="209">
        <v>81</v>
      </c>
      <c r="H43" s="209">
        <v>43</v>
      </c>
      <c r="I43" s="209"/>
      <c r="J43" s="209"/>
      <c r="K43" s="209"/>
      <c r="L43" s="209"/>
      <c r="M43" s="209"/>
      <c r="N43" s="209"/>
      <c r="O43" s="209"/>
      <c r="P43" s="542"/>
    </row>
    <row r="44" spans="2:29" x14ac:dyDescent="0.3">
      <c r="B44" s="1354" t="s">
        <v>494</v>
      </c>
      <c r="C44" s="1355"/>
      <c r="D44" s="1355"/>
      <c r="E44" s="1356"/>
      <c r="F44" s="209"/>
      <c r="G44" s="209"/>
      <c r="H44" s="209"/>
      <c r="I44" s="209">
        <v>-184</v>
      </c>
      <c r="J44" s="209">
        <v>-1830</v>
      </c>
      <c r="K44" s="209">
        <v>-2406</v>
      </c>
      <c r="L44" s="209">
        <v>-2419</v>
      </c>
      <c r="M44" s="209">
        <v>-2467</v>
      </c>
      <c r="N44" s="209">
        <v>-2531</v>
      </c>
      <c r="O44" s="209">
        <v>-2667</v>
      </c>
      <c r="P44" s="542">
        <v>-2809</v>
      </c>
    </row>
    <row r="45" spans="2:29" ht="15.75" customHeight="1" x14ac:dyDescent="0.3">
      <c r="B45" s="1351" t="s">
        <v>495</v>
      </c>
      <c r="C45" s="1352"/>
      <c r="D45" s="1352"/>
      <c r="E45" s="1353"/>
      <c r="F45" s="209">
        <v>6524</v>
      </c>
      <c r="G45" s="209">
        <v>6143</v>
      </c>
      <c r="H45" s="209"/>
      <c r="I45" s="209"/>
      <c r="J45" s="209"/>
      <c r="K45" s="209"/>
      <c r="L45" s="209"/>
      <c r="M45" s="209"/>
      <c r="N45" s="209"/>
      <c r="O45" s="209"/>
      <c r="P45" s="542"/>
    </row>
    <row r="46" spans="2:29" x14ac:dyDescent="0.3">
      <c r="B46" s="1354" t="s">
        <v>496</v>
      </c>
      <c r="C46" s="1355"/>
      <c r="D46" s="1355"/>
      <c r="E46" s="1356"/>
      <c r="F46" s="209">
        <v>50</v>
      </c>
      <c r="G46" s="209">
        <v>175</v>
      </c>
      <c r="H46" s="209">
        <v>25</v>
      </c>
      <c r="I46" s="209"/>
      <c r="J46" s="209"/>
      <c r="K46" s="209"/>
      <c r="L46" s="209"/>
      <c r="M46" s="209"/>
      <c r="N46" s="209"/>
      <c r="O46" s="209"/>
      <c r="P46" s="542"/>
    </row>
    <row r="47" spans="2:29" x14ac:dyDescent="0.3">
      <c r="B47" s="1354" t="s">
        <v>497</v>
      </c>
      <c r="C47" s="1355"/>
      <c r="D47" s="1355"/>
      <c r="E47" s="1356"/>
      <c r="F47" s="209">
        <v>829</v>
      </c>
      <c r="G47" s="209">
        <v>844</v>
      </c>
      <c r="H47" s="209"/>
      <c r="I47" s="209"/>
      <c r="J47" s="209"/>
      <c r="K47" s="209"/>
      <c r="L47" s="209"/>
      <c r="M47" s="209"/>
      <c r="N47" s="209"/>
      <c r="O47" s="209"/>
      <c r="P47" s="542"/>
    </row>
    <row r="48" spans="2:29" x14ac:dyDescent="0.3">
      <c r="B48" s="1357" t="s">
        <v>498</v>
      </c>
      <c r="C48" s="1358"/>
      <c r="D48" s="1358"/>
      <c r="E48" s="1359"/>
      <c r="F48" s="209">
        <f t="shared" ref="F48:P48" si="13">SUM(F39:F47)</f>
        <v>7728</v>
      </c>
      <c r="G48" s="209">
        <f t="shared" si="13"/>
        <v>7782</v>
      </c>
      <c r="H48" s="209">
        <f t="shared" si="13"/>
        <v>4916</v>
      </c>
      <c r="I48" s="209">
        <f t="shared" si="13"/>
        <v>4863</v>
      </c>
      <c r="J48" s="209">
        <f t="shared" si="13"/>
        <v>2095</v>
      </c>
      <c r="K48" s="209">
        <f t="shared" si="13"/>
        <v>1690</v>
      </c>
      <c r="L48" s="209">
        <f t="shared" si="13"/>
        <v>842</v>
      </c>
      <c r="M48" s="209">
        <f t="shared" si="13"/>
        <v>-1100</v>
      </c>
      <c r="N48" s="209">
        <f t="shared" si="13"/>
        <v>-2013</v>
      </c>
      <c r="O48" s="209">
        <f t="shared" si="13"/>
        <v>-2087</v>
      </c>
      <c r="P48" s="542">
        <f t="shared" si="13"/>
        <v>-2539</v>
      </c>
    </row>
    <row r="49" spans="2:17" x14ac:dyDescent="0.3">
      <c r="B49" s="1351" t="s">
        <v>499</v>
      </c>
      <c r="C49" s="1352"/>
      <c r="D49" s="1352"/>
      <c r="E49" s="1353"/>
      <c r="F49" s="209">
        <f t="shared" ref="F49:P49" si="14">F45+F43+F42</f>
        <v>6562</v>
      </c>
      <c r="G49" s="209">
        <f t="shared" si="14"/>
        <v>6224</v>
      </c>
      <c r="H49" s="209">
        <f t="shared" si="14"/>
        <v>3811</v>
      </c>
      <c r="I49" s="209">
        <f t="shared" si="14"/>
        <v>3428</v>
      </c>
      <c r="J49" s="209">
        <f t="shared" si="14"/>
        <v>2176</v>
      </c>
      <c r="K49" s="209">
        <f t="shared" si="14"/>
        <v>2304</v>
      </c>
      <c r="L49" s="209">
        <f t="shared" si="14"/>
        <v>2129</v>
      </c>
      <c r="M49" s="209">
        <f t="shared" si="14"/>
        <v>1335</v>
      </c>
      <c r="N49" s="209">
        <f t="shared" si="14"/>
        <v>478</v>
      </c>
      <c r="O49" s="209">
        <f t="shared" si="14"/>
        <v>531</v>
      </c>
      <c r="P49" s="542">
        <f t="shared" si="14"/>
        <v>212</v>
      </c>
      <c r="Q49" s="213" t="s">
        <v>500</v>
      </c>
    </row>
    <row r="50" spans="2:17" x14ac:dyDescent="0.3">
      <c r="B50" s="1354" t="s">
        <v>501</v>
      </c>
      <c r="C50" s="1355"/>
      <c r="D50" s="1355"/>
      <c r="E50" s="1356"/>
      <c r="F50" s="209">
        <f>(F49/1000)/M26</f>
        <v>9.315729699034641E-3</v>
      </c>
      <c r="G50" s="209">
        <f>(G49/F49)*F50</f>
        <v>8.8358886996024993E-3</v>
      </c>
      <c r="H50" s="209">
        <f>(H49/G49)*G50+H51</f>
        <v>5.4102782509937537E-3</v>
      </c>
      <c r="I50" s="209">
        <f>(I49/H49)*H50+I51</f>
        <v>4.8665530948324813E-3</v>
      </c>
      <c r="J50" s="209">
        <f>J51</f>
        <v>0</v>
      </c>
      <c r="K50" s="209">
        <f t="shared" ref="K50:L50" si="15">K51</f>
        <v>0</v>
      </c>
      <c r="L50" s="209">
        <f t="shared" si="15"/>
        <v>0</v>
      </c>
      <c r="M50" s="209"/>
      <c r="N50" s="209"/>
      <c r="O50" s="209"/>
      <c r="P50" s="542"/>
      <c r="Q50" s="213" t="s">
        <v>502</v>
      </c>
    </row>
    <row r="51" spans="2:17" ht="29.25" customHeight="1" x14ac:dyDescent="0.3">
      <c r="B51" s="531" t="s">
        <v>955</v>
      </c>
      <c r="C51" s="532"/>
      <c r="D51" s="532"/>
      <c r="E51" s="533"/>
      <c r="F51" s="209"/>
      <c r="G51" s="209"/>
      <c r="H51" s="209"/>
      <c r="I51" s="209"/>
      <c r="J51" s="209"/>
      <c r="K51" s="209"/>
      <c r="L51" s="209"/>
      <c r="M51" s="209"/>
      <c r="N51" s="209"/>
      <c r="O51" s="209"/>
      <c r="P51" s="542"/>
      <c r="Q51" s="213"/>
    </row>
    <row r="52" spans="2:17" x14ac:dyDescent="0.3">
      <c r="B52" s="1348"/>
      <c r="C52" s="1349"/>
      <c r="D52" s="1349"/>
      <c r="E52" s="1350"/>
      <c r="F52" s="537"/>
      <c r="G52" s="537"/>
      <c r="H52" s="537"/>
      <c r="I52" s="537"/>
      <c r="J52" s="537"/>
      <c r="K52" s="537"/>
      <c r="L52" s="537"/>
      <c r="M52" s="537"/>
      <c r="N52" s="537"/>
      <c r="O52" s="537"/>
      <c r="P52" s="543"/>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7773437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237" t="s">
        <v>37</v>
      </c>
      <c r="B2" s="1238"/>
      <c r="C2" s="1238"/>
      <c r="D2" s="1239"/>
      <c r="E2" s="16"/>
      <c r="F2" s="16"/>
    </row>
    <row r="3" spans="1:7" ht="148.35" customHeight="1" x14ac:dyDescent="0.3">
      <c r="A3" s="19" t="s">
        <v>910</v>
      </c>
      <c r="B3" s="14" t="s">
        <v>1892</v>
      </c>
      <c r="C3" s="14" t="s">
        <v>908</v>
      </c>
      <c r="D3" s="23"/>
    </row>
    <row r="4" spans="1:7" ht="85.5" customHeight="1" x14ac:dyDescent="0.3">
      <c r="A4" s="19" t="s">
        <v>899</v>
      </c>
      <c r="B4" s="14" t="s">
        <v>40</v>
      </c>
      <c r="C4" s="14" t="s">
        <v>995</v>
      </c>
      <c r="D4" s="23"/>
      <c r="E4" s="14"/>
      <c r="F4" s="14"/>
    </row>
    <row r="5" spans="1:7" ht="158.85" customHeight="1" x14ac:dyDescent="0.3">
      <c r="A5" s="19" t="s">
        <v>896</v>
      </c>
      <c r="B5" s="14" t="s">
        <v>897</v>
      </c>
      <c r="C5" s="14" t="s">
        <v>921</v>
      </c>
      <c r="D5" s="23"/>
      <c r="E5" s="14"/>
      <c r="F5" s="14"/>
    </row>
    <row r="6" spans="1:7" ht="99.6" customHeight="1" x14ac:dyDescent="0.3">
      <c r="A6" s="19" t="s">
        <v>898</v>
      </c>
      <c r="B6" s="14" t="s">
        <v>38</v>
      </c>
      <c r="C6" s="14" t="s">
        <v>39</v>
      </c>
      <c r="D6" s="23"/>
      <c r="E6" s="14"/>
      <c r="F6" s="14"/>
    </row>
    <row r="7" spans="1:7" ht="61.5" customHeight="1" x14ac:dyDescent="0.3">
      <c r="A7" s="19" t="s">
        <v>900</v>
      </c>
      <c r="B7" s="14" t="s">
        <v>880</v>
      </c>
      <c r="C7" s="14" t="s">
        <v>881</v>
      </c>
      <c r="D7" s="23"/>
      <c r="E7" s="14"/>
      <c r="F7" s="14"/>
    </row>
    <row r="8" spans="1:7" ht="100.35" customHeight="1" x14ac:dyDescent="0.3">
      <c r="A8" s="19" t="s">
        <v>42</v>
      </c>
      <c r="B8" s="14" t="s">
        <v>43</v>
      </c>
      <c r="C8" s="28" t="s">
        <v>44</v>
      </c>
      <c r="D8" s="23"/>
      <c r="E8" s="17"/>
      <c r="F8" s="14"/>
      <c r="G8" s="29"/>
    </row>
    <row r="9" spans="1:7" ht="78" customHeight="1" x14ac:dyDescent="0.3">
      <c r="A9" s="19" t="s">
        <v>45</v>
      </c>
      <c r="B9" s="14" t="s">
        <v>46</v>
      </c>
      <c r="C9" s="14" t="s">
        <v>927</v>
      </c>
      <c r="D9" s="23"/>
      <c r="E9" s="14"/>
      <c r="F9" s="14"/>
    </row>
    <row r="10" spans="1:7" ht="67.5" customHeight="1" x14ac:dyDescent="0.3">
      <c r="A10" s="19" t="s">
        <v>870</v>
      </c>
      <c r="B10" s="14" t="s">
        <v>882</v>
      </c>
      <c r="C10" s="14" t="s">
        <v>941</v>
      </c>
      <c r="D10" s="23"/>
      <c r="E10" s="14"/>
      <c r="F10" s="14"/>
    </row>
    <row r="11" spans="1:7" ht="63.6" customHeight="1" x14ac:dyDescent="0.3">
      <c r="A11" s="19" t="s">
        <v>47</v>
      </c>
      <c r="B11" s="14" t="s">
        <v>48</v>
      </c>
      <c r="C11" s="14" t="s">
        <v>901</v>
      </c>
      <c r="D11" s="15"/>
      <c r="E11" s="14"/>
      <c r="F11" s="14"/>
    </row>
    <row r="12" spans="1:7" ht="15" customHeight="1" x14ac:dyDescent="0.3">
      <c r="A12" s="1237" t="s">
        <v>902</v>
      </c>
      <c r="B12" s="1238"/>
      <c r="C12" s="1238"/>
      <c r="D12" s="1239"/>
      <c r="E12" s="16"/>
      <c r="F12" s="14"/>
    </row>
    <row r="13" spans="1:7" ht="29.85" customHeight="1" x14ac:dyDescent="0.3">
      <c r="A13" s="20" t="s">
        <v>9</v>
      </c>
      <c r="B13" s="1243" t="s">
        <v>904</v>
      </c>
      <c r="C13" s="1243"/>
      <c r="D13" s="24"/>
      <c r="E13" s="16"/>
      <c r="F13" s="14"/>
    </row>
    <row r="14" spans="1:7" ht="48.6" customHeight="1" x14ac:dyDescent="0.3">
      <c r="A14" s="18" t="s">
        <v>903</v>
      </c>
      <c r="B14" s="1243" t="s">
        <v>914</v>
      </c>
      <c r="C14" s="1243"/>
      <c r="D14" s="23"/>
      <c r="E14" s="16"/>
      <c r="F14" s="14"/>
    </row>
    <row r="15" spans="1:7" ht="48.6" customHeight="1" x14ac:dyDescent="0.3">
      <c r="A15" s="18" t="s">
        <v>905</v>
      </c>
      <c r="B15" s="1243" t="s">
        <v>906</v>
      </c>
      <c r="C15" s="1243"/>
      <c r="D15" s="15"/>
      <c r="E15" s="16"/>
      <c r="F15" s="14"/>
    </row>
    <row r="16" spans="1:7" x14ac:dyDescent="0.3">
      <c r="A16" s="1240" t="s">
        <v>59</v>
      </c>
      <c r="B16" s="1241"/>
      <c r="C16" s="1241"/>
      <c r="D16" s="1242"/>
      <c r="E16" s="14"/>
      <c r="F16" s="14"/>
    </row>
    <row r="17" spans="1:6" ht="36.6" customHeight="1" x14ac:dyDescent="0.3">
      <c r="A17" s="1235" t="s">
        <v>907</v>
      </c>
      <c r="B17" s="1236"/>
      <c r="C17" s="1236"/>
      <c r="D17" s="24"/>
      <c r="E17" s="14"/>
      <c r="F17" s="14"/>
    </row>
    <row r="18" spans="1:6" ht="145.5" customHeight="1" x14ac:dyDescent="0.3">
      <c r="A18" s="19" t="s">
        <v>60</v>
      </c>
      <c r="B18" s="14" t="s">
        <v>928</v>
      </c>
      <c r="C18" s="14" t="s">
        <v>935</v>
      </c>
      <c r="D18" s="23"/>
      <c r="E18" s="14"/>
      <c r="F18" s="14"/>
    </row>
    <row r="19" spans="1:6" ht="63.6" customHeight="1" x14ac:dyDescent="0.3">
      <c r="A19" s="19" t="s">
        <v>61</v>
      </c>
      <c r="B19" s="14" t="s">
        <v>929</v>
      </c>
      <c r="C19" s="14" t="s">
        <v>930</v>
      </c>
      <c r="D19" s="23"/>
      <c r="E19" s="14"/>
      <c r="F19" s="14"/>
    </row>
    <row r="20" spans="1:6" ht="63.6" customHeight="1" x14ac:dyDescent="0.3">
      <c r="A20" s="19" t="s">
        <v>931</v>
      </c>
      <c r="B20" s="14" t="s">
        <v>932</v>
      </c>
      <c r="C20" s="14" t="s">
        <v>933</v>
      </c>
      <c r="D20" s="23"/>
      <c r="E20" s="14"/>
      <c r="F20" s="14"/>
    </row>
    <row r="21" spans="1:6" ht="34.35" customHeight="1" x14ac:dyDescent="0.3">
      <c r="A21" s="1235" t="s">
        <v>877</v>
      </c>
      <c r="B21" s="1236"/>
      <c r="C21" s="1236"/>
      <c r="D21" s="15"/>
      <c r="E21" s="14"/>
      <c r="F21" s="14"/>
    </row>
    <row r="22" spans="1:6" x14ac:dyDescent="0.3">
      <c r="A22" s="1240" t="s">
        <v>62</v>
      </c>
      <c r="B22" s="1241"/>
      <c r="C22" s="1241"/>
      <c r="D22" s="1242"/>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920</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2"/>
  <sheetViews>
    <sheetView zoomScale="90" zoomScaleNormal="90" workbookViewId="0">
      <selection activeCell="N17" sqref="N17"/>
    </sheetView>
  </sheetViews>
  <sheetFormatPr defaultColWidth="10.7773437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276" t="s">
        <v>55</v>
      </c>
      <c r="C1" s="1276"/>
      <c r="D1" s="1276"/>
      <c r="E1" s="1276"/>
      <c r="F1" s="1276"/>
      <c r="G1" s="1276"/>
      <c r="H1" s="1276"/>
      <c r="I1" s="1276"/>
      <c r="J1" s="1276"/>
      <c r="K1" s="1276"/>
      <c r="L1" s="1276"/>
      <c r="M1" s="1276"/>
      <c r="N1" s="1276"/>
      <c r="O1" s="1276"/>
      <c r="P1" s="1276"/>
      <c r="Q1" s="1276"/>
      <c r="R1" s="1276"/>
      <c r="S1" s="1276"/>
      <c r="T1" s="1276"/>
      <c r="U1" s="1276"/>
      <c r="V1" s="1276"/>
      <c r="W1" s="1276"/>
      <c r="X1" s="1276"/>
      <c r="Y1" s="1276"/>
      <c r="Z1" s="1276"/>
      <c r="AA1" s="1276"/>
      <c r="AB1" s="1276"/>
      <c r="AC1" s="1276"/>
    </row>
    <row r="2" spans="2:29" ht="14.25" customHeight="1" x14ac:dyDescent="0.3">
      <c r="B2" s="1347" t="s">
        <v>918</v>
      </c>
      <c r="C2" s="1347"/>
      <c r="D2" s="1347"/>
      <c r="E2" s="1347"/>
      <c r="F2" s="1347"/>
      <c r="G2" s="1347"/>
      <c r="H2" s="1347"/>
      <c r="I2" s="1347"/>
      <c r="J2" s="1347"/>
      <c r="K2" s="1347"/>
      <c r="L2" s="1347"/>
      <c r="M2" s="1347"/>
      <c r="N2" s="1347"/>
      <c r="O2" s="1347"/>
      <c r="P2" s="1347"/>
      <c r="Q2" s="1347"/>
      <c r="R2" s="1347"/>
      <c r="S2" s="586"/>
      <c r="T2" s="1366" t="s">
        <v>985</v>
      </c>
      <c r="U2" s="1366"/>
      <c r="V2" s="1366"/>
      <c r="W2" s="1366"/>
      <c r="X2" s="1366"/>
      <c r="Y2" s="1366"/>
      <c r="Z2" s="1366"/>
      <c r="AA2" s="1366"/>
      <c r="AB2" s="1366"/>
      <c r="AC2" s="1366"/>
    </row>
    <row r="3" spans="2:29" x14ac:dyDescent="0.3">
      <c r="B3" s="1347"/>
      <c r="C3" s="1347"/>
      <c r="D3" s="1347"/>
      <c r="E3" s="1347"/>
      <c r="F3" s="1347"/>
      <c r="G3" s="1347"/>
      <c r="H3" s="1347"/>
      <c r="I3" s="1347"/>
      <c r="J3" s="1347"/>
      <c r="K3" s="1347"/>
      <c r="L3" s="1347"/>
      <c r="M3" s="1347"/>
      <c r="N3" s="1347"/>
      <c r="O3" s="1347"/>
      <c r="P3" s="1347"/>
      <c r="Q3" s="1347"/>
      <c r="R3" s="1347"/>
      <c r="S3" s="586"/>
      <c r="T3" s="1366"/>
      <c r="U3" s="1366"/>
      <c r="V3" s="1366"/>
      <c r="W3" s="1366"/>
      <c r="X3" s="1366"/>
      <c r="Y3" s="1366"/>
      <c r="Z3" s="1366"/>
      <c r="AA3" s="1366"/>
      <c r="AB3" s="1366"/>
      <c r="AC3" s="1366"/>
    </row>
    <row r="4" spans="2:29" ht="21" customHeight="1" x14ac:dyDescent="0.3">
      <c r="B4" s="1347"/>
      <c r="C4" s="1347"/>
      <c r="D4" s="1347"/>
      <c r="E4" s="1347"/>
      <c r="F4" s="1347"/>
      <c r="G4" s="1347"/>
      <c r="H4" s="1347"/>
      <c r="I4" s="1347"/>
      <c r="J4" s="1347"/>
      <c r="K4" s="1347"/>
      <c r="L4" s="1347"/>
      <c r="M4" s="1347"/>
      <c r="N4" s="1347"/>
      <c r="O4" s="1347"/>
      <c r="P4" s="1347"/>
      <c r="Q4" s="1347"/>
      <c r="R4" s="1347"/>
      <c r="S4" s="586"/>
      <c r="T4" s="1366"/>
      <c r="U4" s="1366"/>
      <c r="V4" s="1366"/>
      <c r="W4" s="1366"/>
      <c r="X4" s="1366"/>
      <c r="Y4" s="1366"/>
      <c r="Z4" s="1366"/>
      <c r="AA4" s="1366"/>
      <c r="AB4" s="1366"/>
      <c r="AC4" s="1366"/>
    </row>
    <row r="6" spans="2:29" x14ac:dyDescent="0.3">
      <c r="B6" s="491" t="s">
        <v>380</v>
      </c>
    </row>
    <row r="7" spans="2:29" ht="14.85" customHeight="1" x14ac:dyDescent="0.3">
      <c r="B7" s="1280" t="s">
        <v>453</v>
      </c>
      <c r="C7" s="1339"/>
      <c r="D7" s="1290" t="s">
        <v>325</v>
      </c>
      <c r="E7" s="1291"/>
      <c r="F7" s="1291"/>
      <c r="G7" s="1291"/>
      <c r="H7" s="1291"/>
      <c r="I7" s="1291"/>
      <c r="J7" s="1291"/>
      <c r="K7" s="1291"/>
      <c r="L7" s="1291"/>
      <c r="M7" s="1291"/>
      <c r="N7" s="1291"/>
      <c r="O7" s="1291"/>
      <c r="P7" s="1291"/>
      <c r="Q7" s="1316"/>
      <c r="R7" s="1316"/>
      <c r="S7" s="1316"/>
      <c r="T7" s="1281"/>
      <c r="U7" s="1294" t="s">
        <v>326</v>
      </c>
      <c r="V7" s="1294"/>
      <c r="W7" s="1294"/>
      <c r="X7" s="1294"/>
      <c r="Y7" s="1294"/>
      <c r="Z7" s="1294"/>
      <c r="AA7" s="1294"/>
      <c r="AB7" s="1294"/>
      <c r="AC7" s="1295"/>
    </row>
    <row r="8" spans="2:29" x14ac:dyDescent="0.3">
      <c r="B8" s="1282"/>
      <c r="C8" s="1340"/>
      <c r="D8" s="157">
        <v>2018</v>
      </c>
      <c r="E8" s="1273">
        <v>2019</v>
      </c>
      <c r="F8" s="1278"/>
      <c r="G8" s="1278"/>
      <c r="H8" s="1279"/>
      <c r="I8" s="1273">
        <v>2020</v>
      </c>
      <c r="J8" s="1278"/>
      <c r="K8" s="1278"/>
      <c r="L8" s="1278"/>
      <c r="M8" s="1273">
        <v>2021</v>
      </c>
      <c r="N8" s="1278"/>
      <c r="O8" s="1278"/>
      <c r="P8" s="1274"/>
      <c r="Q8" s="1273">
        <v>2022</v>
      </c>
      <c r="R8" s="1274"/>
      <c r="S8" s="1274"/>
      <c r="T8" s="1279"/>
      <c r="U8" s="1284">
        <v>2023</v>
      </c>
      <c r="V8" s="1285"/>
      <c r="W8" s="1285"/>
      <c r="X8" s="1285"/>
      <c r="Y8" s="1287">
        <v>2024</v>
      </c>
      <c r="Z8" s="1285"/>
      <c r="AA8" s="1285"/>
      <c r="AB8" s="1286"/>
      <c r="AC8" s="233">
        <v>2025</v>
      </c>
    </row>
    <row r="9" spans="2:29" x14ac:dyDescent="0.3">
      <c r="B9" s="1282"/>
      <c r="C9" s="1340"/>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0" t="s">
        <v>328</v>
      </c>
      <c r="V9" s="280" t="s">
        <v>329</v>
      </c>
      <c r="W9" s="280" t="s">
        <v>238</v>
      </c>
      <c r="X9" s="280" t="s">
        <v>327</v>
      </c>
      <c r="Y9" s="348" t="s">
        <v>328</v>
      </c>
      <c r="Z9" s="228" t="s">
        <v>329</v>
      </c>
      <c r="AA9" s="280" t="s">
        <v>238</v>
      </c>
      <c r="AB9" s="278" t="s">
        <v>327</v>
      </c>
      <c r="AC9" s="373" t="s">
        <v>328</v>
      </c>
    </row>
    <row r="10" spans="2:29" ht="14.85" customHeight="1" x14ac:dyDescent="0.3">
      <c r="B10" s="298" t="s">
        <v>503</v>
      </c>
      <c r="C10" s="35" t="s">
        <v>981</v>
      </c>
      <c r="D10" s="555">
        <f>'Haver Pivoted'!GO12</f>
        <v>755.3</v>
      </c>
      <c r="E10" s="556">
        <f>'Haver Pivoted'!GP12</f>
        <v>772.6</v>
      </c>
      <c r="F10" s="556">
        <f>'Haver Pivoted'!GQ12</f>
        <v>785.8</v>
      </c>
      <c r="G10" s="556">
        <f>'Haver Pivoted'!GR12</f>
        <v>793.7</v>
      </c>
      <c r="H10" s="556">
        <f>'Haver Pivoted'!GS12</f>
        <v>796.3</v>
      </c>
      <c r="I10" s="556">
        <f>'Haver Pivoted'!GT12</f>
        <v>795.3</v>
      </c>
      <c r="J10" s="556">
        <f>'Haver Pivoted'!GU12</f>
        <v>808</v>
      </c>
      <c r="K10" s="556">
        <f>'Haver Pivoted'!GV12</f>
        <v>822.1</v>
      </c>
      <c r="L10" s="556">
        <f>'Haver Pivoted'!GW12</f>
        <v>837.5</v>
      </c>
      <c r="M10" s="556">
        <f>'Haver Pivoted'!GX12</f>
        <v>857.6</v>
      </c>
      <c r="N10" s="556">
        <f>'Haver Pivoted'!GY12</f>
        <v>875.4</v>
      </c>
      <c r="O10" s="556">
        <f>'Haver Pivoted'!GZ12</f>
        <v>889.5</v>
      </c>
      <c r="P10" s="556">
        <f>'Haver Pivoted'!HA12</f>
        <v>900</v>
      </c>
      <c r="Q10" s="556">
        <f>'Haver Pivoted'!HB12</f>
        <v>908</v>
      </c>
      <c r="R10" s="556">
        <f>'Haver Pivoted'!HC12</f>
        <v>911.8</v>
      </c>
      <c r="S10" s="557">
        <f>'Haver Pivoted'!HD12</f>
        <v>920.3</v>
      </c>
      <c r="T10" s="558">
        <f>'Haver Pivoted'!HE12</f>
        <v>941.6</v>
      </c>
      <c r="U10" s="578">
        <f t="shared" ref="U10:AC10" si="0">T10*(1+U12)</f>
        <v>958.68725729225423</v>
      </c>
      <c r="V10" s="578">
        <f t="shared" si="0"/>
        <v>976.08459780644091</v>
      </c>
      <c r="W10" s="578">
        <f t="shared" si="0"/>
        <v>993.79764863665025</v>
      </c>
      <c r="X10" s="578">
        <f t="shared" si="0"/>
        <v>1017.7617761487271</v>
      </c>
      <c r="Y10" s="578">
        <f t="shared" si="0"/>
        <v>1042.3037671808102</v>
      </c>
      <c r="Z10" s="578">
        <f t="shared" si="0"/>
        <v>1067.437556154154</v>
      </c>
      <c r="AA10" s="578">
        <f t="shared" si="0"/>
        <v>1093.1774135003152</v>
      </c>
      <c r="AB10" s="578">
        <f t="shared" si="0"/>
        <v>1119.5379537635997</v>
      </c>
      <c r="AC10" s="568">
        <f t="shared" si="0"/>
        <v>1146.534143898891</v>
      </c>
    </row>
    <row r="11" spans="2:29" ht="28.5" customHeight="1" x14ac:dyDescent="0.3">
      <c r="B11" s="616" t="s">
        <v>983</v>
      </c>
      <c r="C11" s="604" t="s">
        <v>573</v>
      </c>
      <c r="D11" s="617"/>
      <c r="E11" s="597"/>
      <c r="F11" s="597"/>
      <c r="G11" s="597"/>
      <c r="H11" s="597"/>
      <c r="I11" s="597"/>
      <c r="J11" s="598">
        <f>'Haver Pivoted'!GU46</f>
        <v>9.6</v>
      </c>
      <c r="K11" s="598">
        <f>'Haver Pivoted'!GV46</f>
        <v>14.4</v>
      </c>
      <c r="L11" s="598">
        <f>'Haver Pivoted'!GW46</f>
        <v>14.3</v>
      </c>
      <c r="M11" s="598">
        <f>'Haver Pivoted'!GX46</f>
        <v>15</v>
      </c>
      <c r="N11" s="598">
        <f>'Haver Pivoted'!GY46</f>
        <v>15.3</v>
      </c>
      <c r="O11" s="598">
        <f>'Haver Pivoted'!GZ46</f>
        <v>15.6</v>
      </c>
      <c r="P11" s="598">
        <f>'Haver Pivoted'!HA46</f>
        <v>15.7</v>
      </c>
      <c r="Q11" s="598">
        <f>'Haver Pivoted'!HB46</f>
        <v>15.8</v>
      </c>
      <c r="R11" s="598">
        <f>'Haver Pivoted'!HC46</f>
        <v>7.9</v>
      </c>
      <c r="S11" s="599">
        <f>'Haver Pivoted'!HD46</f>
        <v>0</v>
      </c>
      <c r="T11" s="602">
        <f>'Haver Pivoted'!HE46</f>
        <v>0</v>
      </c>
      <c r="U11" s="603">
        <f t="shared" ref="U11:Z11" si="1">T11</f>
        <v>0</v>
      </c>
      <c r="V11" s="603">
        <f t="shared" si="1"/>
        <v>0</v>
      </c>
      <c r="W11" s="603">
        <f t="shared" si="1"/>
        <v>0</v>
      </c>
      <c r="X11" s="603">
        <f t="shared" si="1"/>
        <v>0</v>
      </c>
      <c r="Y11" s="603">
        <f t="shared" si="1"/>
        <v>0</v>
      </c>
      <c r="Z11" s="603">
        <f t="shared" si="1"/>
        <v>0</v>
      </c>
      <c r="AA11" s="603"/>
      <c r="AB11" s="603"/>
      <c r="AC11" s="618"/>
    </row>
    <row r="12" spans="2:29" x14ac:dyDescent="0.3">
      <c r="B12" s="608" t="s">
        <v>504</v>
      </c>
      <c r="C12" s="607"/>
      <c r="D12" s="583"/>
      <c r="E12" s="538"/>
      <c r="F12" s="538"/>
      <c r="G12" s="538"/>
      <c r="H12" s="538"/>
      <c r="I12" s="538"/>
      <c r="J12" s="565"/>
      <c r="K12" s="565"/>
      <c r="L12" s="565"/>
      <c r="M12" s="565"/>
      <c r="N12" s="565">
        <f>(1 + $E$23)^0.25-1</f>
        <v>0</v>
      </c>
      <c r="O12" s="565">
        <f>(1 + $E$23)^0.25-1</f>
        <v>0</v>
      </c>
      <c r="P12" s="565">
        <f>(1 + $F$23)^0.25-1</f>
        <v>1.9950659227973899E-2</v>
      </c>
      <c r="Q12" s="565">
        <f>(1 +$F$23)^0.25-1</f>
        <v>1.9950659227973899E-2</v>
      </c>
      <c r="R12" s="565">
        <f>(1 +$F$23)^0.25-1</f>
        <v>1.9950659227973899E-2</v>
      </c>
      <c r="S12" s="601">
        <f>(1 +$F$23)^0.25-1</f>
        <v>1.9950659227973899E-2</v>
      </c>
      <c r="T12" s="600">
        <f>(1 +$G$23)^0.25-1</f>
        <v>1.8147044702903736E-2</v>
      </c>
      <c r="U12" s="588">
        <f>(1 +$G$23)^0.25-1</f>
        <v>1.8147044702903736E-2</v>
      </c>
      <c r="V12" s="588">
        <f>(1 +$G$23)^0.25-1</f>
        <v>1.8147044702903736E-2</v>
      </c>
      <c r="W12" s="588">
        <f>(1 +$G$23)^0.25-1</f>
        <v>1.8147044702903736E-2</v>
      </c>
      <c r="X12" s="588">
        <f t="shared" ref="X12:AC12" si="2">(1 +$H$23)^0.25-1</f>
        <v>2.4113689084445111E-2</v>
      </c>
      <c r="Y12" s="588">
        <f t="shared" si="2"/>
        <v>2.4113689084445111E-2</v>
      </c>
      <c r="Z12" s="588">
        <f t="shared" si="2"/>
        <v>2.4113689084445111E-2</v>
      </c>
      <c r="AA12" s="588">
        <f t="shared" si="2"/>
        <v>2.4113689084445111E-2</v>
      </c>
      <c r="AB12" s="588">
        <f t="shared" si="2"/>
        <v>2.4113689084445111E-2</v>
      </c>
      <c r="AC12" s="589">
        <f t="shared" si="2"/>
        <v>2.4113689084445111E-2</v>
      </c>
    </row>
    <row r="13" spans="2:29" ht="15.75" customHeight="1" x14ac:dyDescent="0.3">
      <c r="B13" s="605"/>
      <c r="C13" s="570"/>
      <c r="D13" s="545"/>
      <c r="E13" s="545"/>
      <c r="F13" s="545"/>
      <c r="G13" s="545"/>
      <c r="H13" s="545"/>
      <c r="I13" s="545"/>
      <c r="J13" s="535"/>
      <c r="K13" s="535"/>
      <c r="L13" s="535"/>
      <c r="M13" s="535"/>
    </row>
    <row r="14" spans="2:29" x14ac:dyDescent="0.3">
      <c r="B14" s="605"/>
      <c r="C14" s="570"/>
      <c r="D14" s="545"/>
      <c r="E14" s="545"/>
      <c r="F14" s="545"/>
      <c r="G14" s="545"/>
      <c r="H14" s="545"/>
      <c r="I14" s="545"/>
      <c r="J14" s="535"/>
      <c r="K14" s="535"/>
      <c r="L14" s="535"/>
      <c r="M14" s="535"/>
    </row>
    <row r="15" spans="2:29" x14ac:dyDescent="0.3">
      <c r="B15" s="605"/>
      <c r="C15" s="570"/>
      <c r="D15" s="545"/>
      <c r="E15" s="545"/>
      <c r="F15" s="545"/>
      <c r="G15" s="545"/>
      <c r="H15" s="545"/>
      <c r="I15" s="545"/>
      <c r="J15" s="535"/>
      <c r="K15" s="535"/>
      <c r="L15" s="535"/>
      <c r="M15" s="535"/>
    </row>
    <row r="16" spans="2:29" ht="14.85" customHeight="1" x14ac:dyDescent="0.3">
      <c r="B16" s="491" t="s">
        <v>399</v>
      </c>
    </row>
    <row r="17" spans="2:32" x14ac:dyDescent="0.3">
      <c r="B17" s="612" t="s">
        <v>481</v>
      </c>
      <c r="C17" s="612">
        <v>2019</v>
      </c>
      <c r="D17" s="613">
        <v>2020</v>
      </c>
      <c r="E17" s="613">
        <v>2021</v>
      </c>
      <c r="F17" s="613">
        <v>2022</v>
      </c>
      <c r="G17" s="613">
        <v>2023</v>
      </c>
      <c r="H17" s="614">
        <v>2024</v>
      </c>
      <c r="I17" s="614">
        <v>2025</v>
      </c>
      <c r="J17" s="614">
        <v>2026</v>
      </c>
    </row>
    <row r="18" spans="2:32" ht="21" customHeight="1" x14ac:dyDescent="0.3">
      <c r="B18" s="619" t="s">
        <v>1897</v>
      </c>
      <c r="C18" s="593"/>
      <c r="D18" s="594"/>
      <c r="E18" s="595">
        <v>867.67600000000004</v>
      </c>
      <c r="F18" s="595">
        <v>937.072</v>
      </c>
      <c r="G18" s="595">
        <v>998.23700000000008</v>
      </c>
      <c r="H18" s="595">
        <v>1080.8440000000001</v>
      </c>
      <c r="I18" s="595">
        <v>1133.1199999999999</v>
      </c>
      <c r="J18" s="596">
        <v>1221.9949999999999</v>
      </c>
      <c r="K18" s="592"/>
      <c r="L18" s="592"/>
      <c r="M18" s="592"/>
      <c r="N18" s="592"/>
      <c r="O18" s="592"/>
      <c r="P18" s="350"/>
      <c r="Q18" s="350"/>
      <c r="R18" s="350"/>
      <c r="S18" s="350"/>
      <c r="T18" s="350"/>
      <c r="U18" s="350"/>
      <c r="V18" s="350"/>
      <c r="W18" s="350"/>
      <c r="X18" s="350"/>
      <c r="Y18" s="350"/>
      <c r="Z18" s="350"/>
      <c r="AA18" s="350"/>
      <c r="AB18" s="350"/>
      <c r="AC18" s="350"/>
    </row>
    <row r="19" spans="2:32" ht="21" customHeight="1" x14ac:dyDescent="0.3">
      <c r="B19" s="606"/>
      <c r="C19" s="591"/>
      <c r="D19" s="592"/>
      <c r="E19" s="241">
        <f>AVERAGE(L10:O10)</f>
        <v>865</v>
      </c>
      <c r="F19" s="241">
        <f>AVERAGE(P10:S10)</f>
        <v>910.02500000000009</v>
      </c>
      <c r="G19" s="241">
        <f>AVERAGE(T10:W10)</f>
        <v>967.5423759338363</v>
      </c>
      <c r="H19" s="241">
        <f>AVERAGE(X10:AA10)</f>
        <v>1055.1701282460017</v>
      </c>
      <c r="I19" s="241">
        <f>AVERAGE(AB10:AE10)</f>
        <v>1133.0360488312454</v>
      </c>
      <c r="J19" s="168"/>
      <c r="K19" s="592"/>
      <c r="L19" s="592"/>
      <c r="M19" s="592"/>
      <c r="N19" s="592"/>
      <c r="O19" s="592"/>
      <c r="P19" s="350"/>
      <c r="Q19" s="350"/>
      <c r="R19" s="350"/>
      <c r="S19" s="350"/>
      <c r="T19" s="350"/>
      <c r="U19" s="350"/>
      <c r="V19" s="350"/>
      <c r="W19" s="350"/>
      <c r="X19" s="350"/>
      <c r="Y19" s="350"/>
      <c r="Z19" s="350"/>
      <c r="AA19" s="350"/>
      <c r="AB19" s="350"/>
      <c r="AC19" s="350"/>
    </row>
    <row r="20" spans="2:32" ht="21" customHeight="1" x14ac:dyDescent="0.3">
      <c r="B20" s="544" t="s">
        <v>505</v>
      </c>
      <c r="C20" s="213"/>
      <c r="D20" s="213">
        <v>47</v>
      </c>
      <c r="E20" s="213">
        <v>48</v>
      </c>
      <c r="F20" s="35">
        <v>-50</v>
      </c>
      <c r="G20" s="35">
        <v>-45</v>
      </c>
      <c r="H20" s="35"/>
      <c r="I20" s="35"/>
      <c r="J20" s="610">
        <f>SUM(D20:G20)</f>
        <v>0</v>
      </c>
      <c r="M20" s="592"/>
      <c r="N20" s="592"/>
      <c r="O20" s="592"/>
      <c r="P20" s="350"/>
      <c r="Q20" s="350"/>
      <c r="R20" s="350"/>
      <c r="S20" s="350"/>
      <c r="T20" s="350"/>
      <c r="U20" s="350"/>
      <c r="V20" s="350"/>
      <c r="W20" s="350"/>
      <c r="X20" s="350"/>
      <c r="Y20" s="350"/>
      <c r="Z20" s="350"/>
      <c r="AA20" s="350"/>
      <c r="AB20" s="350"/>
      <c r="AC20" s="350"/>
    </row>
    <row r="21" spans="2:32" x14ac:dyDescent="0.3">
      <c r="B21" s="544" t="s">
        <v>1454</v>
      </c>
      <c r="C21" s="591"/>
      <c r="D21" s="591"/>
      <c r="E21" s="591">
        <f>E18-E20</f>
        <v>819.67600000000004</v>
      </c>
      <c r="F21" s="591">
        <f>F18+F20</f>
        <v>887.072</v>
      </c>
      <c r="G21" s="591">
        <f>G18+G20</f>
        <v>953.23700000000008</v>
      </c>
      <c r="H21" s="591">
        <f>H18+H20</f>
        <v>1080.8440000000001</v>
      </c>
      <c r="I21" s="591">
        <f>I18+I20</f>
        <v>1133.1199999999999</v>
      </c>
      <c r="J21" s="610"/>
      <c r="N21" s="611"/>
      <c r="O21" s="570"/>
      <c r="P21" s="350"/>
      <c r="Q21" s="350"/>
      <c r="R21" s="350"/>
      <c r="S21" s="350"/>
      <c r="T21" s="350"/>
      <c r="U21" s="350"/>
      <c r="V21" s="350"/>
      <c r="W21" s="350"/>
      <c r="X21" s="350"/>
      <c r="Y21" s="350"/>
      <c r="Z21" s="350"/>
      <c r="AA21" s="350"/>
      <c r="AB21" s="350"/>
      <c r="AC21" s="350"/>
    </row>
    <row r="22" spans="2:32" x14ac:dyDescent="0.3">
      <c r="B22" s="544" t="s">
        <v>507</v>
      </c>
      <c r="C22" s="245">
        <f>AVERAGE(D10:G10)</f>
        <v>776.84999999999991</v>
      </c>
      <c r="D22" s="245">
        <f>AVERAGE(H10:K10)</f>
        <v>805.42499999999995</v>
      </c>
      <c r="E22" s="591">
        <f>AVERAGE(L10:O10)</f>
        <v>865</v>
      </c>
      <c r="F22" s="35"/>
      <c r="G22" s="35"/>
      <c r="H22" s="35"/>
      <c r="I22" s="35"/>
      <c r="J22" s="610"/>
      <c r="K22" s="213" t="s">
        <v>506</v>
      </c>
      <c r="P22" s="350"/>
      <c r="Q22" s="350"/>
      <c r="R22" s="350"/>
      <c r="S22" s="350"/>
      <c r="T22" s="350"/>
      <c r="U22" s="350"/>
      <c r="V22" s="350"/>
      <c r="W22" s="350"/>
      <c r="X22" s="350"/>
      <c r="Y22" s="350"/>
      <c r="Z22" s="350"/>
      <c r="AA22" s="350"/>
      <c r="AB22" s="350"/>
      <c r="AC22" s="350"/>
    </row>
    <row r="23" spans="2:32" x14ac:dyDescent="0.3">
      <c r="B23" s="615" t="s">
        <v>994</v>
      </c>
      <c r="C23" s="264"/>
      <c r="D23" s="264"/>
      <c r="E23" s="264"/>
      <c r="F23" s="264">
        <f>F21/E21-1</f>
        <v>8.2222731908705438E-2</v>
      </c>
      <c r="G23" s="264">
        <f>G21/F21-1</f>
        <v>7.4588083041737363E-2</v>
      </c>
      <c r="H23" s="264">
        <v>0.1</v>
      </c>
      <c r="I23" s="264">
        <f t="shared" ref="I23:J23" si="3">I21/H21-1</f>
        <v>4.8365906643326628E-2</v>
      </c>
      <c r="J23" s="398">
        <f t="shared" si="3"/>
        <v>-1</v>
      </c>
      <c r="P23" s="213"/>
      <c r="Q23" s="213"/>
      <c r="R23" s="213"/>
      <c r="S23" s="213"/>
      <c r="T23" s="213"/>
      <c r="U23" s="213"/>
      <c r="V23" s="213"/>
      <c r="W23" s="213"/>
      <c r="X23" s="213"/>
      <c r="Y23" s="213"/>
      <c r="Z23" s="213"/>
      <c r="AA23" s="213"/>
      <c r="AB23" s="213"/>
      <c r="AC23" s="213"/>
    </row>
    <row r="24" spans="2:32" x14ac:dyDescent="0.3">
      <c r="P24" s="213"/>
      <c r="Q24" s="213"/>
      <c r="R24" s="213"/>
      <c r="S24" s="213"/>
      <c r="T24" s="213"/>
      <c r="U24" s="213"/>
      <c r="V24" s="213"/>
      <c r="W24" s="213"/>
      <c r="X24" s="213"/>
      <c r="Y24" s="213"/>
      <c r="Z24" s="213"/>
      <c r="AA24" s="213"/>
      <c r="AB24" s="213"/>
      <c r="AC24" s="213"/>
    </row>
    <row r="25" spans="2:32" x14ac:dyDescent="0.3">
      <c r="C25" s="609"/>
      <c r="D25" s="609"/>
      <c r="E25" s="609"/>
      <c r="F25" s="609"/>
      <c r="G25" s="609"/>
      <c r="H25" s="609"/>
      <c r="I25" s="609"/>
      <c r="J25" s="609"/>
      <c r="P25" s="213"/>
      <c r="Q25" s="213"/>
      <c r="R25" s="213"/>
      <c r="S25" s="213"/>
      <c r="T25" s="213"/>
      <c r="U25" s="213"/>
      <c r="V25" s="213"/>
      <c r="W25" s="213"/>
      <c r="X25" s="213"/>
      <c r="Y25" s="213"/>
      <c r="Z25" s="213"/>
      <c r="AA25" s="213"/>
      <c r="AB25" s="213"/>
      <c r="AC25" s="213"/>
    </row>
    <row r="26" spans="2:32" x14ac:dyDescent="0.3">
      <c r="K26" s="609"/>
      <c r="L26" s="609"/>
      <c r="M26" s="609"/>
      <c r="N26" s="609"/>
      <c r="P26" s="213"/>
      <c r="Q26" s="213"/>
      <c r="R26" s="213"/>
      <c r="S26" s="213"/>
      <c r="T26" s="213"/>
      <c r="U26" s="213"/>
      <c r="V26" s="213"/>
      <c r="W26" s="213"/>
      <c r="X26" s="213"/>
      <c r="Y26" s="213"/>
      <c r="Z26" s="213"/>
      <c r="AA26" s="213"/>
      <c r="AB26" s="213"/>
      <c r="AC26" s="213"/>
    </row>
    <row r="27" spans="2:32" x14ac:dyDescent="0.3">
      <c r="P27" s="213"/>
      <c r="Q27" s="213"/>
      <c r="R27" s="213"/>
      <c r="S27" s="213"/>
      <c r="T27" s="213"/>
      <c r="U27" s="213"/>
      <c r="V27" s="213"/>
      <c r="W27" s="213"/>
      <c r="X27" s="213"/>
      <c r="Y27" s="213"/>
      <c r="Z27" s="213"/>
      <c r="AA27" s="213"/>
      <c r="AB27" s="213"/>
      <c r="AC27" s="213"/>
    </row>
    <row r="28" spans="2:32" x14ac:dyDescent="0.3">
      <c r="S28" s="213"/>
      <c r="T28" s="213"/>
      <c r="U28" s="213"/>
      <c r="V28" s="213"/>
      <c r="W28" s="213"/>
      <c r="X28" s="213"/>
      <c r="Y28" s="213"/>
      <c r="Z28" s="213"/>
      <c r="AA28" s="213"/>
      <c r="AB28" s="213"/>
      <c r="AC28" s="213"/>
      <c r="AD28" s="213"/>
      <c r="AE28" s="213"/>
      <c r="AF28" s="213"/>
    </row>
    <row r="29" spans="2:32" x14ac:dyDescent="0.3">
      <c r="P29" s="213"/>
      <c r="Q29" s="213"/>
      <c r="R29" s="213"/>
      <c r="S29" s="213"/>
      <c r="T29" s="213"/>
      <c r="U29" s="213"/>
      <c r="V29" s="213"/>
      <c r="W29" s="213"/>
      <c r="X29" s="213"/>
      <c r="Y29" s="213"/>
      <c r="Z29" s="213"/>
      <c r="AA29" s="213"/>
      <c r="AB29" s="213"/>
      <c r="AC29" s="213"/>
    </row>
    <row r="30" spans="2:32" x14ac:dyDescent="0.3">
      <c r="F30" s="35"/>
      <c r="G30" s="35"/>
      <c r="P30" s="213"/>
      <c r="Q30" s="213"/>
      <c r="R30" s="213"/>
      <c r="S30" s="213"/>
      <c r="T30" s="213"/>
      <c r="U30" s="213"/>
      <c r="V30" s="213"/>
      <c r="W30" s="213"/>
      <c r="X30" s="213"/>
      <c r="Y30" s="213"/>
      <c r="Z30" s="213"/>
      <c r="AA30" s="213"/>
      <c r="AB30" s="213"/>
      <c r="AC30" s="213"/>
    </row>
    <row r="31" spans="2:32" x14ac:dyDescent="0.3">
      <c r="P31" s="213"/>
      <c r="Q31" s="213"/>
      <c r="R31" s="213"/>
      <c r="S31" s="213"/>
      <c r="T31" s="213"/>
      <c r="U31" s="213"/>
      <c r="V31" s="213"/>
      <c r="W31" s="213"/>
      <c r="X31" s="213"/>
      <c r="Y31" s="213"/>
      <c r="Z31" s="213"/>
      <c r="AA31" s="213"/>
      <c r="AB31" s="213"/>
      <c r="AC31" s="213"/>
    </row>
    <row r="32" spans="2:32" x14ac:dyDescent="0.3">
      <c r="P32" s="213"/>
      <c r="Q32" s="213"/>
      <c r="R32" s="213"/>
      <c r="S32" s="213"/>
      <c r="T32" s="213"/>
      <c r="U32" s="213"/>
      <c r="V32" s="213"/>
      <c r="W32" s="213"/>
      <c r="X32" s="213"/>
      <c r="Y32" s="213"/>
      <c r="Z32" s="213"/>
      <c r="AA32" s="213"/>
      <c r="AB32" s="213"/>
      <c r="AC32" s="213"/>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19"/>
  <sheetViews>
    <sheetView workbookViewId="0">
      <selection activeCell="E22" sqref="E22"/>
    </sheetView>
  </sheetViews>
  <sheetFormatPr defaultColWidth="10.77734375" defaultRowHeight="14.4" x14ac:dyDescent="0.3"/>
  <sheetData>
    <row r="1" spans="2:32" x14ac:dyDescent="0.3">
      <c r="B1" s="1276" t="s">
        <v>1459</v>
      </c>
      <c r="C1" s="1276"/>
      <c r="D1" s="1276"/>
      <c r="E1" s="1276"/>
      <c r="F1" s="1276"/>
      <c r="G1" s="1276"/>
      <c r="H1" s="1276"/>
      <c r="I1" s="1276"/>
      <c r="J1" s="1276"/>
      <c r="K1" s="1276"/>
      <c r="L1" s="1276"/>
      <c r="M1" s="1276"/>
      <c r="N1" s="1276"/>
      <c r="O1" s="1276"/>
      <c r="P1" s="1276"/>
      <c r="Q1" s="1276"/>
      <c r="R1" s="1276"/>
      <c r="S1" s="1276"/>
      <c r="T1" s="1276"/>
      <c r="U1" s="1276"/>
      <c r="V1" s="1276"/>
      <c r="W1" s="1276"/>
      <c r="X1" s="1276"/>
      <c r="Y1" s="1276"/>
      <c r="Z1" s="1276"/>
      <c r="AA1" s="1276"/>
      <c r="AB1" s="1276"/>
      <c r="AC1" s="1276"/>
    </row>
    <row r="2" spans="2:32" x14ac:dyDescent="0.3">
      <c r="B2" s="1277" t="s">
        <v>1462</v>
      </c>
      <c r="C2" s="1277"/>
      <c r="D2" s="1277"/>
      <c r="E2" s="1277"/>
      <c r="F2" s="1277"/>
      <c r="G2" s="1277"/>
      <c r="H2" s="1277"/>
      <c r="I2" s="1277"/>
      <c r="J2" s="1277"/>
      <c r="K2" s="1277"/>
      <c r="L2" s="1277"/>
      <c r="M2" s="1277"/>
      <c r="N2" s="1277"/>
      <c r="O2" s="1277"/>
      <c r="P2" s="1277"/>
      <c r="Q2" s="1277"/>
      <c r="R2" s="1277"/>
      <c r="S2" s="1277"/>
      <c r="T2" s="1277"/>
      <c r="U2" s="1277"/>
      <c r="V2" s="1277"/>
      <c r="W2" s="1277"/>
      <c r="X2" s="1277"/>
      <c r="Y2" s="1277"/>
      <c r="Z2" s="1277"/>
      <c r="AA2" s="1277"/>
      <c r="AB2" s="1277"/>
      <c r="AC2" s="1277"/>
    </row>
    <row r="3" spans="2:32" x14ac:dyDescent="0.3">
      <c r="B3" s="1277"/>
      <c r="C3" s="1277"/>
      <c r="D3" s="1277"/>
      <c r="E3" s="1277"/>
      <c r="F3" s="1277"/>
      <c r="G3" s="1277"/>
      <c r="H3" s="1277"/>
      <c r="I3" s="1277"/>
      <c r="J3" s="1277"/>
      <c r="K3" s="1277"/>
      <c r="L3" s="1277"/>
      <c r="M3" s="1277"/>
      <c r="N3" s="1277"/>
      <c r="O3" s="1277"/>
      <c r="P3" s="1277"/>
      <c r="Q3" s="1277"/>
      <c r="R3" s="1277"/>
      <c r="S3" s="1277"/>
      <c r="T3" s="1277"/>
      <c r="U3" s="1277"/>
      <c r="V3" s="1277"/>
      <c r="W3" s="1277"/>
      <c r="X3" s="1277"/>
      <c r="Y3" s="1277"/>
      <c r="Z3" s="1277"/>
      <c r="AA3" s="1277"/>
      <c r="AB3" s="1277"/>
      <c r="AC3" s="1277"/>
    </row>
    <row r="4" spans="2:32" x14ac:dyDescent="0.3">
      <c r="B4" s="1277"/>
      <c r="C4" s="1277"/>
      <c r="D4" s="1277"/>
      <c r="E4" s="1277"/>
      <c r="F4" s="1277"/>
      <c r="G4" s="1277"/>
      <c r="H4" s="1277"/>
      <c r="I4" s="1277"/>
      <c r="J4" s="1277"/>
      <c r="K4" s="1277"/>
      <c r="L4" s="1277"/>
      <c r="M4" s="1277"/>
      <c r="N4" s="1277"/>
      <c r="O4" s="1277"/>
      <c r="P4" s="1277"/>
      <c r="Q4" s="1277"/>
      <c r="R4" s="1277"/>
      <c r="S4" s="1277"/>
      <c r="T4" s="1277"/>
      <c r="U4" s="1277"/>
      <c r="V4" s="1277"/>
      <c r="W4" s="1277"/>
      <c r="X4" s="1277"/>
      <c r="Y4" s="1277"/>
      <c r="Z4" s="1277"/>
      <c r="AA4" s="1277"/>
      <c r="AB4" s="1277"/>
      <c r="AC4" s="1277"/>
    </row>
    <row r="5" spans="2:32" x14ac:dyDescent="0.3">
      <c r="B5" s="346"/>
      <c r="C5" s="213"/>
      <c r="D5" s="213"/>
      <c r="E5" s="213"/>
      <c r="F5" s="213"/>
      <c r="G5" s="213"/>
      <c r="H5" s="213"/>
      <c r="I5" s="213"/>
      <c r="J5" s="213"/>
      <c r="K5" s="213"/>
      <c r="L5" s="213"/>
      <c r="M5" s="213"/>
      <c r="N5" s="213"/>
      <c r="O5" s="213"/>
      <c r="P5" s="213"/>
      <c r="Q5" s="213"/>
      <c r="R5" s="213"/>
      <c r="S5" s="213"/>
      <c r="T5" s="213"/>
      <c r="U5" s="213"/>
      <c r="V5" s="213"/>
      <c r="W5" s="213"/>
      <c r="X5" s="213"/>
      <c r="Y5" s="213"/>
    </row>
    <row r="6" spans="2:32" x14ac:dyDescent="0.3">
      <c r="B6" s="1280" t="s">
        <v>1782</v>
      </c>
      <c r="C6" s="1339"/>
      <c r="D6" s="1334" t="s">
        <v>325</v>
      </c>
      <c r="E6" s="1335"/>
      <c r="F6" s="1335"/>
      <c r="G6" s="1335"/>
      <c r="H6" s="1335"/>
      <c r="I6" s="1335"/>
      <c r="J6" s="1335"/>
      <c r="K6" s="1335"/>
      <c r="L6" s="1335"/>
      <c r="M6" s="1335"/>
      <c r="N6" s="1335"/>
      <c r="O6" s="1335"/>
      <c r="P6" s="1335"/>
      <c r="Q6" s="1339"/>
      <c r="R6" s="1339"/>
      <c r="S6" s="195"/>
      <c r="T6" s="1336" t="s">
        <v>326</v>
      </c>
      <c r="U6" s="1336"/>
      <c r="V6" s="1336"/>
      <c r="W6" s="1336"/>
      <c r="X6" s="1336"/>
      <c r="Y6" s="1336"/>
      <c r="Z6" s="1336"/>
      <c r="AA6" s="1336"/>
      <c r="AB6" s="1336"/>
      <c r="AC6" s="1336"/>
      <c r="AD6" s="1336"/>
      <c r="AE6" s="1336"/>
      <c r="AF6" s="1337"/>
    </row>
    <row r="7" spans="2:32" x14ac:dyDescent="0.3">
      <c r="B7" s="1282"/>
      <c r="C7" s="1283"/>
      <c r="D7" s="163">
        <v>2018</v>
      </c>
      <c r="E7" s="1298">
        <v>2019</v>
      </c>
      <c r="F7" s="1299"/>
      <c r="G7" s="1299"/>
      <c r="H7" s="1306"/>
      <c r="I7" s="1298">
        <v>2020</v>
      </c>
      <c r="J7" s="1299"/>
      <c r="K7" s="1299"/>
      <c r="L7" s="1299"/>
      <c r="M7" s="1298">
        <v>2021</v>
      </c>
      <c r="N7" s="1299"/>
      <c r="O7" s="1299"/>
      <c r="P7" s="1299"/>
      <c r="Q7" s="1288">
        <v>2022</v>
      </c>
      <c r="R7" s="1367"/>
      <c r="S7" s="221"/>
      <c r="T7" s="620"/>
      <c r="U7" s="1287">
        <v>2023</v>
      </c>
      <c r="V7" s="1285"/>
      <c r="W7" s="1285"/>
      <c r="X7" s="1285"/>
      <c r="Y7" s="1287">
        <v>2024</v>
      </c>
      <c r="Z7" s="1285"/>
      <c r="AA7" s="1285"/>
      <c r="AB7" s="1286"/>
      <c r="AC7" s="1287">
        <v>2025</v>
      </c>
      <c r="AD7" s="1285"/>
      <c r="AE7" s="1285"/>
      <c r="AF7" s="1286"/>
    </row>
    <row r="8" spans="2:32" x14ac:dyDescent="0.3">
      <c r="B8" s="1296"/>
      <c r="C8" s="1297"/>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622" t="s">
        <v>328</v>
      </c>
      <c r="R8" s="623" t="s">
        <v>329</v>
      </c>
      <c r="S8" s="621" t="s">
        <v>238</v>
      </c>
      <c r="T8" s="248" t="s">
        <v>327</v>
      </c>
      <c r="U8" s="246" t="s">
        <v>328</v>
      </c>
      <c r="V8" s="247" t="s">
        <v>329</v>
      </c>
      <c r="W8" s="247" t="s">
        <v>238</v>
      </c>
      <c r="X8" s="247" t="s">
        <v>327</v>
      </c>
      <c r="Y8" s="246" t="s">
        <v>328</v>
      </c>
      <c r="Z8" s="242" t="s">
        <v>329</v>
      </c>
      <c r="AA8" s="247" t="s">
        <v>238</v>
      </c>
      <c r="AB8" s="248" t="s">
        <v>327</v>
      </c>
      <c r="AC8" s="249" t="s">
        <v>328</v>
      </c>
      <c r="AD8" s="247" t="s">
        <v>329</v>
      </c>
      <c r="AE8" s="247" t="s">
        <v>238</v>
      </c>
      <c r="AF8" s="248" t="s">
        <v>327</v>
      </c>
    </row>
    <row r="9" spans="2:32" x14ac:dyDescent="0.3">
      <c r="B9" s="165" t="s">
        <v>1461</v>
      </c>
      <c r="C9" s="630"/>
      <c r="D9" s="631"/>
      <c r="E9" s="630"/>
      <c r="F9" s="630"/>
      <c r="G9" s="630"/>
      <c r="H9" s="630"/>
      <c r="I9" s="630"/>
      <c r="J9" s="632"/>
      <c r="K9" s="632"/>
      <c r="L9" s="632"/>
      <c r="M9" s="632"/>
      <c r="N9" s="632"/>
      <c r="O9" s="632"/>
      <c r="P9" s="632"/>
      <c r="Q9" s="632"/>
      <c r="R9" s="628">
        <v>0</v>
      </c>
      <c r="S9" s="629">
        <v>0</v>
      </c>
      <c r="T9" s="633">
        <v>0</v>
      </c>
      <c r="U9" s="633">
        <v>0</v>
      </c>
      <c r="V9" s="633">
        <v>0</v>
      </c>
      <c r="W9" s="633">
        <v>-7.7999999999999999E-4</v>
      </c>
      <c r="X9" s="633">
        <v>-7.7999999999999999E-4</v>
      </c>
      <c r="Y9" s="633">
        <v>-9.5E-4</v>
      </c>
      <c r="Z9" s="633">
        <v>-9.5E-4</v>
      </c>
      <c r="AA9" s="633">
        <v>-9.5E-4</v>
      </c>
      <c r="AB9" s="633">
        <v>-9.5E-4</v>
      </c>
      <c r="AC9" s="633">
        <v>-9.3999999999999997E-4</v>
      </c>
      <c r="AD9" s="633">
        <v>-9.3999999999999997E-4</v>
      </c>
      <c r="AE9" s="633">
        <v>-9.3999999999999997E-4</v>
      </c>
      <c r="AF9" s="634">
        <v>-9.3999999999999997E-4</v>
      </c>
    </row>
    <row r="10" spans="2:32" x14ac:dyDescent="0.3">
      <c r="B10" s="35" t="s">
        <v>1460</v>
      </c>
      <c r="C10" s="232"/>
      <c r="D10" s="567"/>
      <c r="E10" s="232"/>
      <c r="F10" s="232"/>
      <c r="G10" s="232"/>
      <c r="H10" s="232"/>
      <c r="I10" s="232"/>
      <c r="J10" s="625"/>
      <c r="K10" s="625"/>
      <c r="L10" s="625"/>
      <c r="M10" s="625"/>
      <c r="N10" s="625"/>
      <c r="O10" s="625"/>
      <c r="P10" s="625"/>
      <c r="Q10" s="625"/>
      <c r="R10" s="94"/>
      <c r="S10" s="87"/>
      <c r="T10" s="94"/>
      <c r="U10" s="94">
        <v>26095</v>
      </c>
      <c r="V10" s="94">
        <v>26404</v>
      </c>
      <c r="W10" s="94">
        <v>26686</v>
      </c>
      <c r="X10" s="94">
        <v>26931</v>
      </c>
      <c r="Y10" s="94">
        <v>27174</v>
      </c>
      <c r="Z10" s="94">
        <v>27411</v>
      </c>
      <c r="AA10" s="94">
        <v>27647</v>
      </c>
      <c r="AB10" s="94">
        <v>27893</v>
      </c>
      <c r="AC10" s="94">
        <v>28143</v>
      </c>
      <c r="AD10" s="94">
        <v>28400</v>
      </c>
      <c r="AE10" s="94">
        <v>28649</v>
      </c>
      <c r="AF10" s="87">
        <v>28910</v>
      </c>
    </row>
    <row r="11" spans="2:32" x14ac:dyDescent="0.3">
      <c r="B11" s="35" t="s">
        <v>359</v>
      </c>
      <c r="C11" s="513"/>
      <c r="D11" s="512"/>
      <c r="E11" s="513"/>
      <c r="F11" s="513"/>
      <c r="G11" s="513"/>
      <c r="H11" s="513"/>
      <c r="I11" s="513"/>
      <c r="J11" s="626"/>
      <c r="K11" s="626"/>
      <c r="L11" s="626"/>
      <c r="M11" s="626"/>
      <c r="N11" s="626"/>
      <c r="O11" s="626"/>
      <c r="P11" s="626"/>
      <c r="Q11" s="626"/>
      <c r="R11" s="624">
        <f>R9*R10</f>
        <v>0</v>
      </c>
      <c r="S11" s="627">
        <f t="shared" ref="S11:T11" si="0">S9*S10</f>
        <v>0</v>
      </c>
      <c r="T11" s="624">
        <f t="shared" si="0"/>
        <v>0</v>
      </c>
      <c r="U11" s="635">
        <f>U9*U10*-1</f>
        <v>0</v>
      </c>
      <c r="V11" s="635">
        <f t="shared" ref="V11:AF11" si="1">V9*V10*-1</f>
        <v>0</v>
      </c>
      <c r="W11" s="635">
        <f t="shared" si="1"/>
        <v>20.815079999999998</v>
      </c>
      <c r="X11" s="635">
        <f t="shared" si="1"/>
        <v>21.006180000000001</v>
      </c>
      <c r="Y11" s="635">
        <f t="shared" si="1"/>
        <v>25.815300000000001</v>
      </c>
      <c r="Z11" s="635">
        <f t="shared" si="1"/>
        <v>26.04045</v>
      </c>
      <c r="AA11" s="635">
        <f t="shared" si="1"/>
        <v>26.26465</v>
      </c>
      <c r="AB11" s="635">
        <f t="shared" si="1"/>
        <v>26.498349999999999</v>
      </c>
      <c r="AC11" s="635">
        <f t="shared" si="1"/>
        <v>26.454419999999999</v>
      </c>
      <c r="AD11" s="635">
        <f t="shared" si="1"/>
        <v>26.695999999999998</v>
      </c>
      <c r="AE11" s="635">
        <f t="shared" si="1"/>
        <v>26.930059999999997</v>
      </c>
      <c r="AF11" s="635">
        <f t="shared" si="1"/>
        <v>27.1754</v>
      </c>
    </row>
    <row r="12" spans="2:32" x14ac:dyDescent="0.3">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2:32" x14ac:dyDescent="0.3">
      <c r="B13" s="1231" t="s">
        <v>1917</v>
      </c>
      <c r="C13" s="1231"/>
      <c r="D13" s="1231"/>
      <c r="E13" s="1231"/>
      <c r="F13" s="1231"/>
      <c r="G13" s="1231"/>
      <c r="H13" s="1231"/>
      <c r="I13" s="1231"/>
      <c r="J13" s="1231"/>
      <c r="K13" s="1231"/>
      <c r="L13" s="1231"/>
      <c r="M13" s="1231"/>
      <c r="N13" s="1231"/>
      <c r="O13" s="1231"/>
      <c r="P13" s="1231"/>
      <c r="Q13" s="1231"/>
      <c r="R13" s="1231"/>
      <c r="S13" s="1231"/>
      <c r="T13" s="1231"/>
      <c r="U13" s="1231"/>
      <c r="V13" s="1231"/>
      <c r="W13" s="1231"/>
      <c r="X13" s="1231"/>
      <c r="Y13" s="1231"/>
      <c r="Z13" s="1231"/>
      <c r="AA13" s="1231"/>
      <c r="AB13" s="1231"/>
      <c r="AC13" s="1231"/>
      <c r="AD13" s="1231"/>
      <c r="AE13" s="1231"/>
      <c r="AF13" s="1231"/>
    </row>
    <row r="14" spans="2:32" x14ac:dyDescent="0.3">
      <c r="B14" s="1280" t="s">
        <v>1781</v>
      </c>
      <c r="C14" s="1339"/>
      <c r="D14" s="1334" t="s">
        <v>325</v>
      </c>
      <c r="E14" s="1335"/>
      <c r="F14" s="1335"/>
      <c r="G14" s="1335"/>
      <c r="H14" s="1335"/>
      <c r="I14" s="1335"/>
      <c r="J14" s="1335"/>
      <c r="K14" s="1335"/>
      <c r="L14" s="1335"/>
      <c r="M14" s="1335"/>
      <c r="N14" s="1335"/>
      <c r="O14" s="1335"/>
      <c r="P14" s="1335"/>
      <c r="Q14" s="1339"/>
      <c r="R14" s="1339"/>
      <c r="S14" s="195"/>
      <c r="T14" s="1336" t="s">
        <v>326</v>
      </c>
      <c r="U14" s="1336"/>
      <c r="V14" s="1336"/>
      <c r="W14" s="1336"/>
      <c r="X14" s="1336"/>
      <c r="Y14" s="1336"/>
      <c r="Z14" s="1336"/>
      <c r="AA14" s="1336"/>
      <c r="AB14" s="1336"/>
      <c r="AC14" s="1336"/>
      <c r="AD14" s="1336"/>
      <c r="AE14" s="1336"/>
      <c r="AF14" s="1337"/>
    </row>
    <row r="15" spans="2:32" x14ac:dyDescent="0.3">
      <c r="B15" s="1282"/>
      <c r="C15" s="1283"/>
      <c r="D15" s="163">
        <v>2018</v>
      </c>
      <c r="E15" s="1298">
        <v>2019</v>
      </c>
      <c r="F15" s="1299"/>
      <c r="G15" s="1299"/>
      <c r="H15" s="1306"/>
      <c r="I15" s="1298">
        <v>2020</v>
      </c>
      <c r="J15" s="1299"/>
      <c r="K15" s="1299"/>
      <c r="L15" s="1299"/>
      <c r="M15" s="1298">
        <v>2021</v>
      </c>
      <c r="N15" s="1299"/>
      <c r="O15" s="1299"/>
      <c r="P15" s="1299"/>
      <c r="Q15" s="1288">
        <v>2022</v>
      </c>
      <c r="R15" s="1367"/>
      <c r="S15" s="221"/>
      <c r="T15" s="620"/>
      <c r="U15" s="1287">
        <v>2023</v>
      </c>
      <c r="V15" s="1285"/>
      <c r="W15" s="1285"/>
      <c r="X15" s="1285"/>
      <c r="Y15" s="1287">
        <v>2024</v>
      </c>
      <c r="Z15" s="1285"/>
      <c r="AA15" s="1285"/>
      <c r="AB15" s="1286"/>
      <c r="AC15" s="1287">
        <v>2025</v>
      </c>
      <c r="AD15" s="1285"/>
      <c r="AE15" s="1285"/>
      <c r="AF15" s="1286"/>
    </row>
    <row r="16" spans="2:32" x14ac:dyDescent="0.3">
      <c r="B16" s="1296"/>
      <c r="C16" s="1297"/>
      <c r="D16" s="163" t="s">
        <v>327</v>
      </c>
      <c r="E16" s="163" t="s">
        <v>328</v>
      </c>
      <c r="F16" s="176" t="s">
        <v>329</v>
      </c>
      <c r="G16" s="176" t="s">
        <v>238</v>
      </c>
      <c r="H16" s="159" t="s">
        <v>327</v>
      </c>
      <c r="I16" s="176" t="s">
        <v>328</v>
      </c>
      <c r="J16" s="176" t="s">
        <v>329</v>
      </c>
      <c r="K16" s="176" t="s">
        <v>238</v>
      </c>
      <c r="L16" s="176" t="s">
        <v>327</v>
      </c>
      <c r="M16" s="163" t="s">
        <v>328</v>
      </c>
      <c r="N16" s="176" t="s">
        <v>329</v>
      </c>
      <c r="O16" s="176" t="s">
        <v>238</v>
      </c>
      <c r="P16" s="176" t="s">
        <v>327</v>
      </c>
      <c r="Q16" s="622" t="s">
        <v>328</v>
      </c>
      <c r="R16" s="623" t="s">
        <v>329</v>
      </c>
      <c r="S16" s="621" t="s">
        <v>238</v>
      </c>
      <c r="T16" s="248" t="s">
        <v>327</v>
      </c>
      <c r="U16" s="246" t="s">
        <v>328</v>
      </c>
      <c r="V16" s="247" t="s">
        <v>329</v>
      </c>
      <c r="W16" s="247" t="s">
        <v>238</v>
      </c>
      <c r="X16" s="247" t="s">
        <v>327</v>
      </c>
      <c r="Y16" s="246" t="s">
        <v>328</v>
      </c>
      <c r="Z16" s="242" t="s">
        <v>329</v>
      </c>
      <c r="AA16" s="247" t="s">
        <v>238</v>
      </c>
      <c r="AB16" s="248" t="s">
        <v>327</v>
      </c>
      <c r="AC16" s="249" t="s">
        <v>328</v>
      </c>
      <c r="AD16" s="247" t="s">
        <v>329</v>
      </c>
      <c r="AE16" s="247" t="s">
        <v>238</v>
      </c>
      <c r="AF16" s="248" t="s">
        <v>327</v>
      </c>
    </row>
    <row r="17" spans="2:32" x14ac:dyDescent="0.3">
      <c r="B17" s="165" t="s">
        <v>1461</v>
      </c>
      <c r="C17" s="630"/>
      <c r="D17" s="631"/>
      <c r="E17" s="630"/>
      <c r="F17" s="630"/>
      <c r="G17" s="630"/>
      <c r="H17" s="630"/>
      <c r="I17" s="630"/>
      <c r="J17" s="632"/>
      <c r="K17" s="632"/>
      <c r="L17" s="632"/>
      <c r="M17" s="632"/>
      <c r="N17" s="632"/>
      <c r="O17" s="632"/>
      <c r="P17" s="632"/>
      <c r="Q17" s="632"/>
      <c r="R17" s="628">
        <v>0</v>
      </c>
      <c r="S17" s="629">
        <v>0</v>
      </c>
      <c r="T17" s="633">
        <v>0</v>
      </c>
      <c r="U17" s="633">
        <v>-7.7999999999999999E-4</v>
      </c>
      <c r="V17" s="633">
        <v>-7.7999999999999999E-4</v>
      </c>
      <c r="W17" s="633">
        <v>-7.7999999999999999E-4</v>
      </c>
      <c r="X17" s="633">
        <v>-7.7999999999999999E-4</v>
      </c>
      <c r="Y17" s="633">
        <v>-9.5E-4</v>
      </c>
      <c r="Z17" s="633">
        <v>-9.5E-4</v>
      </c>
      <c r="AA17" s="633">
        <v>-9.5E-4</v>
      </c>
      <c r="AB17" s="633">
        <v>-9.5E-4</v>
      </c>
      <c r="AC17" s="633">
        <v>-9.3999999999999997E-4</v>
      </c>
      <c r="AD17" s="633">
        <v>-9.3999999999999997E-4</v>
      </c>
      <c r="AE17" s="633">
        <v>-9.3999999999999997E-4</v>
      </c>
      <c r="AF17" s="634">
        <v>-9.3999999999999997E-4</v>
      </c>
    </row>
    <row r="18" spans="2:32" x14ac:dyDescent="0.3">
      <c r="B18" s="35" t="s">
        <v>1460</v>
      </c>
      <c r="C18" s="232"/>
      <c r="D18" s="567"/>
      <c r="E18" s="232"/>
      <c r="F18" s="232"/>
      <c r="G18" s="232"/>
      <c r="H18" s="232"/>
      <c r="I18" s="232"/>
      <c r="J18" s="625"/>
      <c r="K18" s="625"/>
      <c r="L18" s="625"/>
      <c r="M18" s="625"/>
      <c r="N18" s="625"/>
      <c r="O18" s="625"/>
      <c r="P18" s="625"/>
      <c r="Q18" s="625"/>
      <c r="R18" s="94"/>
      <c r="S18" s="87"/>
      <c r="T18" s="94"/>
      <c r="U18" s="94">
        <v>26095</v>
      </c>
      <c r="V18" s="94">
        <v>26404</v>
      </c>
      <c r="W18" s="94">
        <v>26686</v>
      </c>
      <c r="X18" s="94">
        <v>26931</v>
      </c>
      <c r="Y18" s="94">
        <v>27174</v>
      </c>
      <c r="Z18" s="94">
        <v>27411</v>
      </c>
      <c r="AA18" s="94">
        <v>27647</v>
      </c>
      <c r="AB18" s="94">
        <v>27893</v>
      </c>
      <c r="AC18" s="94">
        <v>28143</v>
      </c>
      <c r="AD18" s="94">
        <v>28400</v>
      </c>
      <c r="AE18" s="94">
        <v>28649</v>
      </c>
      <c r="AF18" s="87">
        <v>28910</v>
      </c>
    </row>
    <row r="19" spans="2:32" x14ac:dyDescent="0.3">
      <c r="B19" s="35" t="s">
        <v>359</v>
      </c>
      <c r="C19" s="513"/>
      <c r="D19" s="512"/>
      <c r="E19" s="513"/>
      <c r="F19" s="513"/>
      <c r="G19" s="513"/>
      <c r="H19" s="513"/>
      <c r="I19" s="513"/>
      <c r="J19" s="626"/>
      <c r="K19" s="626"/>
      <c r="L19" s="626"/>
      <c r="M19" s="626"/>
      <c r="N19" s="626"/>
      <c r="O19" s="626"/>
      <c r="P19" s="626"/>
      <c r="Q19" s="626"/>
      <c r="R19" s="624">
        <f>R17*R18</f>
        <v>0</v>
      </c>
      <c r="S19" s="627">
        <f t="shared" ref="S19:T19" si="2">S17*S18</f>
        <v>0</v>
      </c>
      <c r="T19" s="624">
        <f t="shared" si="2"/>
        <v>0</v>
      </c>
      <c r="U19" s="635">
        <f>U17*U18*-1</f>
        <v>20.354099999999999</v>
      </c>
      <c r="V19" s="635">
        <f t="shared" ref="V19:AF19" si="3">V17*V18*-1</f>
        <v>20.595119999999998</v>
      </c>
      <c r="W19" s="635">
        <f t="shared" si="3"/>
        <v>20.815079999999998</v>
      </c>
      <c r="X19" s="635">
        <f t="shared" si="3"/>
        <v>21.006180000000001</v>
      </c>
      <c r="Y19" s="635">
        <f t="shared" si="3"/>
        <v>25.815300000000001</v>
      </c>
      <c r="Z19" s="635">
        <f t="shared" si="3"/>
        <v>26.04045</v>
      </c>
      <c r="AA19" s="635">
        <f t="shared" si="3"/>
        <v>26.26465</v>
      </c>
      <c r="AB19" s="635">
        <f t="shared" si="3"/>
        <v>26.498349999999999</v>
      </c>
      <c r="AC19" s="635">
        <f t="shared" si="3"/>
        <v>26.454419999999999</v>
      </c>
      <c r="AD19" s="635">
        <f t="shared" si="3"/>
        <v>26.695999999999998</v>
      </c>
      <c r="AE19" s="635">
        <f t="shared" si="3"/>
        <v>26.930059999999997</v>
      </c>
      <c r="AF19" s="635">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0"/>
  <sheetViews>
    <sheetView topLeftCell="A49" zoomScale="77" zoomScaleNormal="80" workbookViewId="0">
      <selection activeCell="AB65" sqref="AB65"/>
    </sheetView>
  </sheetViews>
  <sheetFormatPr defaultColWidth="10.77734375" defaultRowHeight="14.4" x14ac:dyDescent="0.3"/>
  <cols>
    <col min="2" max="2" width="61" customWidth="1"/>
    <col min="6" max="6" width="12.21875" customWidth="1"/>
    <col min="7" max="7" width="10.44140625" customWidth="1"/>
    <col min="9" max="9" width="12" customWidth="1"/>
  </cols>
  <sheetData>
    <row r="1" spans="2:29" ht="18" customHeight="1" x14ac:dyDescent="0.3">
      <c r="B1" s="1368" t="s">
        <v>514</v>
      </c>
      <c r="C1" s="1368"/>
      <c r="D1" s="1368"/>
      <c r="E1" s="1368"/>
      <c r="F1" s="1368"/>
      <c r="G1" s="1368"/>
      <c r="H1" s="1368"/>
      <c r="I1" s="1368"/>
      <c r="J1" s="1368"/>
      <c r="K1" s="1368"/>
      <c r="L1" s="1368"/>
      <c r="M1" s="1368"/>
      <c r="N1" s="1368"/>
      <c r="O1" s="1368"/>
      <c r="P1" s="1368"/>
      <c r="Q1" s="1368"/>
      <c r="R1" s="1368"/>
      <c r="S1" s="1368"/>
      <c r="T1" s="1368"/>
      <c r="U1" s="1368"/>
      <c r="V1" s="1368"/>
      <c r="W1" s="1368"/>
      <c r="X1" s="1368"/>
      <c r="Y1" s="1368"/>
      <c r="Z1" s="1368"/>
      <c r="AA1" s="1368"/>
      <c r="AB1" s="1368"/>
      <c r="AC1" s="1368"/>
    </row>
    <row r="2" spans="2:29" ht="34.5" customHeight="1" x14ac:dyDescent="0.3">
      <c r="B2" s="1277" t="s">
        <v>919</v>
      </c>
      <c r="C2" s="1314"/>
      <c r="D2" s="1314"/>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row>
    <row r="3" spans="2:29" ht="3" customHeight="1" x14ac:dyDescent="0.3">
      <c r="B3" s="1314"/>
      <c r="C3" s="1314"/>
      <c r="D3" s="1314"/>
      <c r="E3" s="1314"/>
      <c r="F3" s="1314"/>
      <c r="G3" s="1314"/>
      <c r="H3" s="1314"/>
      <c r="I3" s="1314"/>
      <c r="J3" s="1314"/>
      <c r="K3" s="1314"/>
      <c r="L3" s="1314"/>
      <c r="M3" s="1314"/>
      <c r="N3" s="1314"/>
      <c r="O3" s="1314"/>
      <c r="P3" s="1314"/>
      <c r="Q3" s="1314"/>
      <c r="R3" s="1314"/>
      <c r="S3" s="1314"/>
      <c r="T3" s="1314"/>
      <c r="U3" s="1314"/>
      <c r="V3" s="1314"/>
      <c r="W3" s="1314"/>
      <c r="X3" s="1314"/>
      <c r="Y3" s="1314"/>
      <c r="Z3" s="1314"/>
      <c r="AA3" s="1314"/>
      <c r="AB3" s="1314"/>
      <c r="AC3" s="1314"/>
    </row>
    <row r="4" spans="2:29" ht="10.35" customHeight="1" x14ac:dyDescent="0.3">
      <c r="B4" s="1314"/>
      <c r="C4" s="1314"/>
      <c r="D4" s="1314"/>
      <c r="E4" s="1314"/>
      <c r="F4" s="1314"/>
      <c r="G4" s="1314"/>
      <c r="H4" s="1314"/>
      <c r="I4" s="1314"/>
      <c r="J4" s="1314"/>
      <c r="K4" s="1314"/>
      <c r="L4" s="1314"/>
      <c r="M4" s="1314"/>
      <c r="N4" s="1314"/>
      <c r="O4" s="1314"/>
      <c r="P4" s="1314"/>
      <c r="Q4" s="1314"/>
      <c r="R4" s="1314"/>
      <c r="S4" s="1314"/>
      <c r="T4" s="1314"/>
      <c r="U4" s="1314"/>
      <c r="V4" s="1314"/>
      <c r="W4" s="1314"/>
      <c r="X4" s="1314"/>
      <c r="Y4" s="1314"/>
      <c r="Z4" s="1314"/>
      <c r="AA4" s="1314"/>
      <c r="AB4" s="1314"/>
      <c r="AC4" s="1314"/>
    </row>
    <row r="5" spans="2:29" ht="14.25" customHeight="1" x14ac:dyDescent="0.3">
      <c r="B5" s="1314"/>
      <c r="C5" s="1314"/>
      <c r="D5" s="1314"/>
      <c r="E5" s="1314"/>
      <c r="F5" s="1314"/>
      <c r="G5" s="1314"/>
      <c r="H5" s="1314"/>
      <c r="I5" s="1314"/>
      <c r="J5" s="1314"/>
      <c r="K5" s="1314"/>
      <c r="L5" s="1314"/>
      <c r="M5" s="1314"/>
      <c r="N5" s="1314"/>
      <c r="O5" s="1314"/>
      <c r="P5" s="1314"/>
      <c r="Q5" s="1314"/>
      <c r="R5" s="1314"/>
      <c r="S5" s="1314"/>
      <c r="T5" s="1314"/>
      <c r="U5" s="1314"/>
      <c r="V5" s="1314"/>
      <c r="W5" s="1314"/>
      <c r="X5" s="1314"/>
      <c r="Y5" s="1314"/>
      <c r="Z5" s="1314"/>
      <c r="AA5" s="1314"/>
      <c r="AB5" s="1314"/>
      <c r="AC5" s="1314"/>
    </row>
    <row r="6" spans="2:29" ht="14.25" customHeight="1" x14ac:dyDescent="0.3">
      <c r="B6" s="1314"/>
      <c r="C6" s="1314"/>
      <c r="D6" s="1314"/>
      <c r="E6" s="1314"/>
      <c r="F6" s="1314"/>
      <c r="G6" s="1314"/>
      <c r="H6" s="1314"/>
      <c r="I6" s="1314"/>
      <c r="J6" s="1314"/>
      <c r="K6" s="1314"/>
      <c r="L6" s="1314"/>
      <c r="M6" s="1314"/>
      <c r="N6" s="1314"/>
      <c r="O6" s="1314"/>
      <c r="P6" s="1314"/>
      <c r="Q6" s="1314"/>
      <c r="R6" s="1314"/>
      <c r="S6" s="1314"/>
      <c r="T6" s="1314"/>
      <c r="U6" s="1314"/>
      <c r="V6" s="1314"/>
      <c r="W6" s="1314"/>
      <c r="X6" s="1314"/>
      <c r="Y6" s="1314"/>
      <c r="Z6" s="1314"/>
      <c r="AA6" s="1314"/>
      <c r="AB6" s="1314"/>
      <c r="AC6" s="1314"/>
    </row>
    <row r="7" spans="2:29" x14ac:dyDescent="0.3">
      <c r="B7" s="675" t="s">
        <v>380</v>
      </c>
      <c r="C7" s="240"/>
      <c r="D7" s="240"/>
      <c r="E7" s="240"/>
      <c r="F7" s="240"/>
      <c r="G7" s="240"/>
      <c r="H7" s="241"/>
      <c r="I7" s="241"/>
      <c r="J7" s="241"/>
      <c r="K7" s="241"/>
      <c r="L7" s="241"/>
      <c r="M7" s="241"/>
      <c r="N7" s="241"/>
      <c r="O7" s="241"/>
      <c r="P7" s="241"/>
      <c r="Q7" s="241"/>
      <c r="R7" s="241"/>
      <c r="S7" s="241"/>
      <c r="T7" s="241"/>
      <c r="U7" s="241"/>
    </row>
    <row r="8" spans="2:29" ht="14.85" customHeight="1" x14ac:dyDescent="0.3">
      <c r="B8" s="1280" t="s">
        <v>351</v>
      </c>
      <c r="C8" s="1281"/>
      <c r="D8" s="1290" t="s">
        <v>325</v>
      </c>
      <c r="E8" s="1291"/>
      <c r="F8" s="1291"/>
      <c r="G8" s="1291"/>
      <c r="H8" s="1291"/>
      <c r="I8" s="1291"/>
      <c r="J8" s="1291"/>
      <c r="K8" s="1291"/>
      <c r="L8" s="1291"/>
      <c r="M8" s="1291"/>
      <c r="N8" s="1291"/>
      <c r="O8" s="1291"/>
      <c r="P8" s="1291"/>
      <c r="Q8" s="1316"/>
      <c r="R8" s="1316"/>
      <c r="S8" s="1316"/>
      <c r="T8" s="1281"/>
      <c r="U8" s="1294" t="s">
        <v>326</v>
      </c>
      <c r="V8" s="1294"/>
      <c r="W8" s="1294"/>
      <c r="X8" s="1294"/>
      <c r="Y8" s="1294"/>
      <c r="Z8" s="1294"/>
      <c r="AA8" s="1294"/>
      <c r="AB8" s="1294"/>
      <c r="AC8" s="1295"/>
    </row>
    <row r="9" spans="2:29" ht="14.85" customHeight="1" x14ac:dyDescent="0.3">
      <c r="B9" s="1282"/>
      <c r="C9" s="1340"/>
      <c r="D9" s="157">
        <v>2018</v>
      </c>
      <c r="E9" s="1273">
        <v>2019</v>
      </c>
      <c r="F9" s="1278"/>
      <c r="G9" s="1278"/>
      <c r="H9" s="1279"/>
      <c r="I9" s="1273">
        <v>2020</v>
      </c>
      <c r="J9" s="1278"/>
      <c r="K9" s="1278"/>
      <c r="L9" s="1278"/>
      <c r="M9" s="1273">
        <v>2021</v>
      </c>
      <c r="N9" s="1278"/>
      <c r="O9" s="1278"/>
      <c r="P9" s="1278"/>
      <c r="Q9" s="1273">
        <v>2022</v>
      </c>
      <c r="R9" s="1274"/>
      <c r="S9" s="1274"/>
      <c r="T9" s="1279"/>
      <c r="U9" s="1284">
        <v>2023</v>
      </c>
      <c r="V9" s="1285"/>
      <c r="W9" s="1285"/>
      <c r="X9" s="1285"/>
      <c r="Y9" s="1287">
        <v>2024</v>
      </c>
      <c r="Z9" s="1285"/>
      <c r="AA9" s="1285"/>
      <c r="AB9" s="1286"/>
      <c r="AC9" s="233">
        <v>2025</v>
      </c>
    </row>
    <row r="10" spans="2:29" x14ac:dyDescent="0.3">
      <c r="B10" s="1282"/>
      <c r="C10" s="1340"/>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0" t="s">
        <v>328</v>
      </c>
      <c r="V10" s="280" t="s">
        <v>329</v>
      </c>
      <c r="W10" s="280" t="s">
        <v>238</v>
      </c>
      <c r="X10" s="280" t="s">
        <v>327</v>
      </c>
      <c r="Y10" s="348" t="s">
        <v>328</v>
      </c>
      <c r="Z10" s="228" t="s">
        <v>329</v>
      </c>
      <c r="AA10" s="280" t="s">
        <v>238</v>
      </c>
      <c r="AB10" s="278" t="s">
        <v>327</v>
      </c>
      <c r="AC10" s="373" t="s">
        <v>328</v>
      </c>
    </row>
    <row r="11" spans="2:29" x14ac:dyDescent="0.3">
      <c r="B11" s="1369" t="s">
        <v>515</v>
      </c>
      <c r="C11" s="1370"/>
      <c r="D11" s="636"/>
      <c r="E11" s="652"/>
      <c r="F11" s="652"/>
      <c r="G11" s="652"/>
      <c r="H11" s="225"/>
      <c r="I11" s="225"/>
      <c r="J11" s="225"/>
      <c r="K11" s="225"/>
      <c r="L11" s="225"/>
      <c r="M11" s="549"/>
      <c r="N11" s="549"/>
      <c r="O11" s="549"/>
      <c r="P11" s="225"/>
      <c r="Q11" s="225"/>
      <c r="R11" s="225"/>
      <c r="S11" s="225"/>
      <c r="T11" s="653"/>
      <c r="U11" s="196"/>
      <c r="V11" s="196"/>
      <c r="W11" s="196"/>
      <c r="X11" s="196"/>
      <c r="Y11" s="196"/>
      <c r="Z11" s="196"/>
      <c r="AA11" s="196"/>
      <c r="AB11" s="196"/>
      <c r="AC11" s="197"/>
    </row>
    <row r="12" spans="2:29" ht="17.100000000000001" customHeight="1" x14ac:dyDescent="0.3">
      <c r="B12" s="465" t="s">
        <v>516</v>
      </c>
      <c r="C12" s="213" t="s">
        <v>517</v>
      </c>
      <c r="D12" s="582">
        <f>'Haver Pivoted'!GO31</f>
        <v>2224.3000000000002</v>
      </c>
      <c r="E12" s="545">
        <f>'Haver Pivoted'!GP31</f>
        <v>2303.4</v>
      </c>
      <c r="F12" s="545">
        <f>'Haver Pivoted'!GQ31</f>
        <v>2319.4</v>
      </c>
      <c r="G12" s="545">
        <f>'Haver Pivoted'!GR31</f>
        <v>2333.8000000000002</v>
      </c>
      <c r="H12" s="545">
        <f>'Haver Pivoted'!GS31</f>
        <v>2346.4</v>
      </c>
      <c r="I12" s="545">
        <f>'Haver Pivoted'!GT31</f>
        <v>2407.5</v>
      </c>
      <c r="J12" s="545">
        <f>'Haver Pivoted'!GU31</f>
        <v>4698.7</v>
      </c>
      <c r="K12" s="545">
        <f>'Haver Pivoted'!GV31</f>
        <v>3492.4</v>
      </c>
      <c r="L12" s="545">
        <f>'Haver Pivoted'!GW31</f>
        <v>2881.6</v>
      </c>
      <c r="M12" s="545">
        <f>'Haver Pivoted'!GX31</f>
        <v>5094.8</v>
      </c>
      <c r="N12" s="545">
        <f>'Haver Pivoted'!GY31</f>
        <v>3395.6</v>
      </c>
      <c r="O12" s="545">
        <f>'Haver Pivoted'!GZ31</f>
        <v>3146.3</v>
      </c>
      <c r="P12" s="545">
        <f>'Haver Pivoted'!HA31</f>
        <v>2937.4</v>
      </c>
      <c r="Q12" s="545">
        <f>'Haver Pivoted'!HB31</f>
        <v>2863</v>
      </c>
      <c r="R12" s="545">
        <f>'Haver Pivoted'!HC31</f>
        <v>2846.5</v>
      </c>
      <c r="S12" s="546">
        <f>'Haver Pivoted'!HD31</f>
        <v>2840.1</v>
      </c>
      <c r="T12" s="547">
        <f>'Haver Pivoted'!HE31</f>
        <v>2882.9</v>
      </c>
      <c r="U12" s="646">
        <f>SUM(U14:U25)-U24</f>
        <v>2929.3060502922544</v>
      </c>
      <c r="V12" s="646">
        <f t="shared" ref="V12:AC12" si="0">SUM(V14:V25)-V24</f>
        <v>2956.9333908064409</v>
      </c>
      <c r="W12" s="646">
        <f t="shared" si="0"/>
        <v>2983.3464416366501</v>
      </c>
      <c r="X12" s="646">
        <f t="shared" si="0"/>
        <v>3007.8139024820607</v>
      </c>
      <c r="Y12" s="646">
        <f t="shared" si="0"/>
        <v>3081.6794195503439</v>
      </c>
      <c r="Z12" s="646">
        <f t="shared" si="0"/>
        <v>3112.929208523688</v>
      </c>
      <c r="AA12" s="646">
        <f t="shared" si="0"/>
        <v>3145.1930658698489</v>
      </c>
      <c r="AB12" s="646">
        <f t="shared" si="0"/>
        <v>3176.5146061331334</v>
      </c>
      <c r="AC12" s="647">
        <f t="shared" si="0"/>
        <v>3239.8678606397079</v>
      </c>
    </row>
    <row r="13" spans="2:29" x14ac:dyDescent="0.3">
      <c r="B13" s="465"/>
      <c r="C13" s="213"/>
      <c r="D13" s="582"/>
      <c r="E13" s="545"/>
      <c r="F13" s="545"/>
      <c r="G13" s="545"/>
      <c r="H13" s="545"/>
      <c r="I13" s="545"/>
      <c r="J13" s="545"/>
      <c r="K13" s="545"/>
      <c r="L13" s="545"/>
      <c r="M13" s="545"/>
      <c r="N13" s="545"/>
      <c r="O13" s="545"/>
      <c r="P13" s="213"/>
      <c r="Q13" s="209"/>
      <c r="R13" s="209"/>
      <c r="S13" s="209"/>
      <c r="T13" s="542"/>
      <c r="U13" s="280"/>
      <c r="V13" s="280"/>
      <c r="W13" s="280"/>
      <c r="X13" s="280"/>
      <c r="Y13" s="280"/>
      <c r="Z13" s="280"/>
      <c r="AA13" s="280"/>
      <c r="AB13" s="280"/>
      <c r="AC13" s="278"/>
    </row>
    <row r="14" spans="2:29" ht="35.85" customHeight="1" x14ac:dyDescent="0.3">
      <c r="B14" s="243" t="s">
        <v>518</v>
      </c>
      <c r="C14" s="213"/>
      <c r="D14" s="582">
        <f>'Unemployment Insurance'!D20+'Unemployment Insurance'!D19</f>
        <v>27.8</v>
      </c>
      <c r="E14" s="545">
        <f>'Unemployment Insurance'!E20+'Unemployment Insurance'!E19</f>
        <v>29.4</v>
      </c>
      <c r="F14" s="545">
        <f>'Unemployment Insurance'!F20+'Unemployment Insurance'!F19</f>
        <v>26.9</v>
      </c>
      <c r="G14" s="545">
        <f>'Unemployment Insurance'!G20+'Unemployment Insurance'!G19</f>
        <v>26.4</v>
      </c>
      <c r="H14" s="545">
        <f>'Unemployment Insurance'!H20+'Unemployment Insurance'!H19</f>
        <v>27.7</v>
      </c>
      <c r="I14" s="545">
        <f>'Unemployment Insurance'!I20+'Unemployment Insurance'!I19</f>
        <v>40.700000000000003</v>
      </c>
      <c r="J14" s="545">
        <f>'Unemployment Insurance'!J20+'Unemployment Insurance'!J19</f>
        <v>1007.5</v>
      </c>
      <c r="K14" s="545">
        <f>'Unemployment Insurance'!K20+'Unemployment Insurance'!K19</f>
        <v>792.89999999999986</v>
      </c>
      <c r="L14" s="545">
        <f>'Unemployment Insurance'!L20+'Unemployment Insurance'!L19</f>
        <v>308.5</v>
      </c>
      <c r="M14" s="545">
        <f>'Unemployment Insurance'!M20+'Unemployment Insurance'!M19</f>
        <v>556.20000000000005</v>
      </c>
      <c r="N14" s="545">
        <f>'Unemployment Insurance'!N20+'Unemployment Insurance'!N19</f>
        <v>448.6</v>
      </c>
      <c r="O14" s="545">
        <f>'Unemployment Insurance'!O20+'Unemployment Insurance'!O19</f>
        <v>245.1</v>
      </c>
      <c r="P14" s="545">
        <f>'Unemployment Insurance'!P20+'Unemployment Insurance'!P19</f>
        <v>33.799999999999997</v>
      </c>
      <c r="Q14" s="545">
        <f>'Unemployment Insurance'!Q20+'Unemployment Insurance'!Q19</f>
        <v>23.6</v>
      </c>
      <c r="R14" s="545">
        <f>'Unemployment Insurance'!R20+'Unemployment Insurance'!R19</f>
        <v>18.600000000000001</v>
      </c>
      <c r="S14" s="545">
        <f>'Unemployment Insurance'!S20+'Unemployment Insurance'!S19</f>
        <v>18.5</v>
      </c>
      <c r="T14" s="654">
        <f>'Unemployment Insurance'!T20+'Unemployment Insurance'!T19</f>
        <v>20.399999999999999</v>
      </c>
      <c r="U14" s="646">
        <f>'Unemployment Insurance'!U20+'Unemployment Insurance'!U19</f>
        <v>22.830999999999996</v>
      </c>
      <c r="V14" s="646">
        <f>'Unemployment Insurance'!V20+'Unemployment Insurance'!V19</f>
        <v>26.060999999999996</v>
      </c>
      <c r="W14" s="646">
        <f>'Unemployment Insurance'!W20+'Unemployment Insurance'!W19</f>
        <v>27.760999999999992</v>
      </c>
      <c r="X14" s="646">
        <f>'Unemployment Insurance'!X20+'Unemployment Insurance'!X19</f>
        <v>28.979333333333326</v>
      </c>
      <c r="Y14" s="646">
        <f>'Unemployment Insurance'!Y20+'Unemployment Insurance'!Y19</f>
        <v>28.894333333333329</v>
      </c>
      <c r="Z14" s="646">
        <f>'Unemployment Insurance'!Z20+'Unemployment Insurance'!Z19</f>
        <v>28.010333333333325</v>
      </c>
      <c r="AA14" s="646">
        <f>'Unemployment Insurance'!AA20+'Unemployment Insurance'!AA19</f>
        <v>27.534333333333322</v>
      </c>
      <c r="AB14" s="646">
        <f>'Unemployment Insurance'!AB20+'Unemployment Insurance'!AB19</f>
        <v>27.194333333333322</v>
      </c>
      <c r="AC14" s="647">
        <f>'Unemployment Insurance'!AC20+'Unemployment Insurance'!AC19</f>
        <v>27.063999999999986</v>
      </c>
    </row>
    <row r="15" spans="2:29" ht="17.850000000000001" customHeight="1" x14ac:dyDescent="0.3">
      <c r="B15" s="243" t="s">
        <v>55</v>
      </c>
      <c r="C15" s="213"/>
      <c r="D15" s="582">
        <f>Medicare!D10</f>
        <v>755.3</v>
      </c>
      <c r="E15" s="545">
        <f>Medicare!E10</f>
        <v>772.6</v>
      </c>
      <c r="F15" s="545">
        <f>Medicare!F10</f>
        <v>785.8</v>
      </c>
      <c r="G15" s="545">
        <f>Medicare!G10</f>
        <v>793.7</v>
      </c>
      <c r="H15" s="545">
        <f>Medicare!H10</f>
        <v>796.3</v>
      </c>
      <c r="I15" s="545">
        <f>Medicare!I10</f>
        <v>795.3</v>
      </c>
      <c r="J15" s="545">
        <f>Medicare!J10</f>
        <v>808</v>
      </c>
      <c r="K15" s="545">
        <f>Medicare!K10</f>
        <v>822.1</v>
      </c>
      <c r="L15" s="545">
        <f>Medicare!L10</f>
        <v>837.5</v>
      </c>
      <c r="M15" s="545">
        <f>Medicare!M10</f>
        <v>857.6</v>
      </c>
      <c r="N15" s="545">
        <f>Medicare!N10</f>
        <v>875.4</v>
      </c>
      <c r="O15" s="545">
        <f>Medicare!O10</f>
        <v>889.5</v>
      </c>
      <c r="P15" s="545">
        <f>Medicare!P10</f>
        <v>900</v>
      </c>
      <c r="Q15" s="545">
        <f>Medicare!Q10</f>
        <v>908</v>
      </c>
      <c r="R15" s="545">
        <f>Medicare!R10</f>
        <v>911.8</v>
      </c>
      <c r="S15" s="545">
        <f>Medicare!S10</f>
        <v>920.3</v>
      </c>
      <c r="T15" s="654">
        <f>Medicare!T10</f>
        <v>941.6</v>
      </c>
      <c r="U15" s="646">
        <f>Medicare!U10</f>
        <v>958.68725729225423</v>
      </c>
      <c r="V15" s="646">
        <f>Medicare!V10</f>
        <v>976.08459780644091</v>
      </c>
      <c r="W15" s="646">
        <f>Medicare!W10</f>
        <v>993.79764863665025</v>
      </c>
      <c r="X15" s="646">
        <f>Medicare!X10</f>
        <v>1017.7617761487271</v>
      </c>
      <c r="Y15" s="646">
        <f>Medicare!Y10</f>
        <v>1042.3037671808102</v>
      </c>
      <c r="Z15" s="646">
        <f>Medicare!Z10</f>
        <v>1067.437556154154</v>
      </c>
      <c r="AA15" s="646">
        <f>Medicare!AA10</f>
        <v>1093.1774135003152</v>
      </c>
      <c r="AB15" s="646">
        <f>Medicare!AB10</f>
        <v>1119.5379537635997</v>
      </c>
      <c r="AC15" s="647">
        <f>Medicare!AC10</f>
        <v>1146.534143898891</v>
      </c>
    </row>
    <row r="16" spans="2:29" ht="18" customHeight="1" x14ac:dyDescent="0.3">
      <c r="B16" s="465" t="s">
        <v>519</v>
      </c>
      <c r="C16" s="213"/>
      <c r="D16" s="254"/>
      <c r="E16" s="209"/>
      <c r="F16" s="209"/>
      <c r="G16" s="209"/>
      <c r="H16" s="545">
        <f>'Rebate Checks (expired)'!H10 +'Rebate Checks (expired)'!H11</f>
        <v>0</v>
      </c>
      <c r="I16" s="545">
        <f>'Rebate Checks (expired)'!I10 +'Rebate Checks (expired)'!I11</f>
        <v>0</v>
      </c>
      <c r="J16" s="545">
        <f>'Rebate Checks (expired)'!J10 +'Rebate Checks (expired)'!J11</f>
        <v>1078.0999999999999</v>
      </c>
      <c r="K16" s="545">
        <f>'Rebate Checks (expired)'!K10 +'Rebate Checks (expired)'!K11</f>
        <v>15.6</v>
      </c>
      <c r="L16" s="545">
        <f>'Rebate Checks (expired)'!L10 +'Rebate Checks (expired)'!L11</f>
        <v>5</v>
      </c>
      <c r="M16" s="545">
        <f>'Rebate Checks (expired)'!M10 +'Rebate Checks (expired)'!M11</f>
        <v>1933.6999999999998</v>
      </c>
      <c r="N16" s="545">
        <f>'Rebate Checks (expired)'!N10 +'Rebate Checks (expired)'!N11</f>
        <v>290.10000000000002</v>
      </c>
      <c r="O16" s="545">
        <f>'Rebate Checks (expired)'!O10 +'Rebate Checks (expired)'!O11</f>
        <v>38.9</v>
      </c>
      <c r="P16" s="545">
        <f>'Rebate Checks (expired)'!P10 +'Rebate Checks (expired)'!P11</f>
        <v>14.2</v>
      </c>
      <c r="Q16" s="545">
        <f>'Rebate Checks (expired)'!Q10 +'Rebate Checks (expired)'!Q11</f>
        <v>0</v>
      </c>
      <c r="R16" s="545">
        <f>'Rebate Checks (expired)'!Q10 +'Rebate Checks (expired)'!R11</f>
        <v>0</v>
      </c>
      <c r="S16" s="545">
        <f>'Rebate Checks (expired)'!S10 +'Rebate Checks (expired)'!S11</f>
        <v>0</v>
      </c>
      <c r="T16" s="654">
        <f>'Rebate Checks (expired)'!T10 +'Rebate Checks (expired)'!T11</f>
        <v>0</v>
      </c>
      <c r="U16" s="646">
        <f>'Rebate Checks (expired)'!U10 +'Rebate Checks (expired)'!U11</f>
        <v>0</v>
      </c>
      <c r="V16" s="646">
        <f>'Rebate Checks (expired)'!V10 +'Rebate Checks (expired)'!V11</f>
        <v>0</v>
      </c>
      <c r="W16" s="646">
        <f>'Rebate Checks (expired)'!W10 +'Rebate Checks (expired)'!W11</f>
        <v>0</v>
      </c>
      <c r="X16" s="646">
        <f>'Rebate Checks (expired)'!X10 +'Rebate Checks (expired)'!X11</f>
        <v>0</v>
      </c>
      <c r="Y16" s="646">
        <f>'Rebate Checks (expired)'!Y10 +'Rebate Checks (expired)'!Y11</f>
        <v>0</v>
      </c>
      <c r="Z16" s="646">
        <f>'Rebate Checks (expired)'!Z10 +'Rebate Checks (expired)'!Z11</f>
        <v>0</v>
      </c>
      <c r="AA16" s="646">
        <f>'Rebate Checks (expired)'!AA10 +'Rebate Checks (expired)'!AA11</f>
        <v>0</v>
      </c>
      <c r="AB16" s="646">
        <f>'Rebate Checks (expired)'!AB10 +'Rebate Checks (expired)'!AB11</f>
        <v>0</v>
      </c>
      <c r="AC16" s="647">
        <f>'Rebate Checks (expired)'!AC10 +'Rebate Checks (expired)'!AC11</f>
        <v>0</v>
      </c>
    </row>
    <row r="17" spans="2:101" ht="20.100000000000001" customHeight="1" x14ac:dyDescent="0.3">
      <c r="B17" s="244" t="s">
        <v>522</v>
      </c>
      <c r="C17" s="232"/>
      <c r="D17" s="664"/>
      <c r="E17" s="625"/>
      <c r="F17" s="625"/>
      <c r="G17" s="625"/>
      <c r="H17" s="553"/>
      <c r="I17" s="553"/>
      <c r="J17" s="553"/>
      <c r="K17" s="553"/>
      <c r="L17" s="553"/>
      <c r="M17" s="553">
        <f>'ARP Quarterly'!C5</f>
        <v>0</v>
      </c>
      <c r="N17" s="553">
        <f>'ARP Quarterly'!D5</f>
        <v>33.921840000000024</v>
      </c>
      <c r="O17" s="553">
        <f>'ARP Quarterly'!E5</f>
        <v>44.966160000000031</v>
      </c>
      <c r="P17" s="553">
        <f>'ARP Quarterly'!F5</f>
        <v>52.756999999999998</v>
      </c>
      <c r="Q17" s="553">
        <f>'ARP Quarterly'!G5</f>
        <v>52.756999999999998</v>
      </c>
      <c r="R17" s="553">
        <f>'ARP Quarterly'!H5</f>
        <v>52.756999999999998</v>
      </c>
      <c r="S17" s="553">
        <f>'ARP Quarterly'!I5</f>
        <v>52.756999999999998</v>
      </c>
      <c r="T17" s="559">
        <v>30</v>
      </c>
      <c r="U17" s="561">
        <f>'ARP Quarterly'!K5</f>
        <v>12</v>
      </c>
      <c r="V17" s="561">
        <f>'ARP Quarterly'!L5</f>
        <v>12</v>
      </c>
      <c r="W17" s="561">
        <f>'ARP Quarterly'!M5</f>
        <v>12</v>
      </c>
      <c r="X17" s="561">
        <f>'ARP Quarterly'!N5</f>
        <v>4.2219999999999995</v>
      </c>
      <c r="Y17" s="561">
        <f>'ARP Quarterly'!O5</f>
        <v>4.2219999999999995</v>
      </c>
      <c r="Z17" s="561">
        <f>'ARP Quarterly'!P5</f>
        <v>4.2219999999999995</v>
      </c>
      <c r="AA17" s="561">
        <f>'ARP Quarterly'!Q5</f>
        <v>4.2219999999999995</v>
      </c>
      <c r="AB17" s="561">
        <f>'ARP Quarterly'!R5</f>
        <v>2.3719999999999999</v>
      </c>
      <c r="AC17" s="669">
        <f>'ARP Quarterly'!S5</f>
        <v>2.3719999999999999</v>
      </c>
    </row>
    <row r="18" spans="2:101" ht="22.35" customHeight="1" x14ac:dyDescent="0.3">
      <c r="B18" s="243" t="s">
        <v>218</v>
      </c>
      <c r="C18" s="676"/>
      <c r="D18" s="253"/>
      <c r="E18" s="212"/>
      <c r="F18" s="212"/>
      <c r="G18" s="212"/>
      <c r="H18" s="212"/>
      <c r="I18" s="212"/>
      <c r="J18" s="212"/>
      <c r="K18" s="212"/>
      <c r="L18" s="212"/>
      <c r="M18" s="545">
        <f>'ARP Quarterly'!C4</f>
        <v>0</v>
      </c>
      <c r="N18" s="545">
        <f>'ARP Quarterly'!D4</f>
        <v>0</v>
      </c>
      <c r="O18" s="545">
        <f>'ARP Quarterly'!E4</f>
        <v>3.1040000000000418</v>
      </c>
      <c r="P18" s="545">
        <f>'ARP Quarterly'!F4</f>
        <v>19.719000000000005</v>
      </c>
      <c r="Q18" s="545">
        <f>'ARP Quarterly'!G4</f>
        <v>19.719000000000005</v>
      </c>
      <c r="R18" s="545">
        <f>'ARP Quarterly'!H4</f>
        <v>19.719000000000005</v>
      </c>
      <c r="S18" s="545">
        <f>'ARP Quarterly'!I4</f>
        <v>19.719000000000005</v>
      </c>
      <c r="T18" s="654">
        <f>'ARP Quarterly'!J4</f>
        <v>1.4159999999999999</v>
      </c>
      <c r="U18" s="646">
        <f>'ARP Quarterly'!K4</f>
        <v>1.4159999999999999</v>
      </c>
      <c r="V18" s="646">
        <f>'ARP Quarterly'!L4</f>
        <v>1.4159999999999999</v>
      </c>
      <c r="W18" s="646">
        <f>'ARP Quarterly'!M4</f>
        <v>1.4159999999999999</v>
      </c>
      <c r="X18" s="646">
        <f>'ARP Quarterly'!N4</f>
        <v>1.4790000000000001</v>
      </c>
      <c r="Y18" s="646">
        <f>'ARP Quarterly'!O4</f>
        <v>1.4790000000000001</v>
      </c>
      <c r="Z18" s="646">
        <f>'ARP Quarterly'!P4</f>
        <v>1.4790000000000001</v>
      </c>
      <c r="AA18" s="646">
        <f>'ARP Quarterly'!Q4</f>
        <v>1.4790000000000001</v>
      </c>
      <c r="AB18" s="646">
        <f>'ARP Quarterly'!R4</f>
        <v>1.63</v>
      </c>
      <c r="AC18" s="647">
        <f>'ARP Quarterly'!S4</f>
        <v>1.63</v>
      </c>
      <c r="AE18" s="676"/>
      <c r="AF18" s="676"/>
      <c r="AG18" s="676"/>
      <c r="AH18" s="676"/>
      <c r="AI18" s="676"/>
      <c r="AJ18" s="676"/>
      <c r="AK18" s="676"/>
      <c r="AL18" s="676"/>
      <c r="AM18" s="676"/>
      <c r="AN18" s="676"/>
      <c r="AO18" s="676"/>
      <c r="AP18" s="676"/>
      <c r="AQ18" s="676"/>
      <c r="AR18" s="676"/>
      <c r="AS18" s="676"/>
      <c r="AT18" s="676"/>
      <c r="AU18" s="676"/>
      <c r="AV18" s="676"/>
      <c r="AW18" s="676"/>
      <c r="AX18" s="676"/>
      <c r="AY18" s="676"/>
      <c r="AZ18" s="676"/>
      <c r="BA18" s="676"/>
      <c r="BB18" s="676"/>
      <c r="BC18" s="676"/>
      <c r="BD18" s="676"/>
      <c r="BE18" s="676"/>
      <c r="BF18" s="676"/>
      <c r="BG18" s="676"/>
      <c r="BH18" s="676"/>
      <c r="BI18" s="676"/>
      <c r="BJ18" s="676"/>
      <c r="BK18" s="676"/>
      <c r="BL18" s="676"/>
      <c r="BM18" s="676"/>
      <c r="BN18" s="676"/>
      <c r="BO18" s="676"/>
      <c r="BP18" s="676"/>
      <c r="BQ18" s="676"/>
      <c r="BR18" s="676"/>
      <c r="BS18" s="676"/>
      <c r="BT18" s="676"/>
      <c r="BU18" s="676"/>
      <c r="BV18" s="676"/>
      <c r="BW18" s="676"/>
      <c r="BX18" s="676"/>
      <c r="BY18" s="676"/>
      <c r="BZ18" s="676"/>
      <c r="CA18" s="676"/>
      <c r="CB18" s="676"/>
      <c r="CC18" s="676"/>
      <c r="CD18" s="676"/>
      <c r="CE18" s="676"/>
      <c r="CF18" s="676"/>
      <c r="CG18" s="676"/>
      <c r="CH18" s="676"/>
      <c r="CI18" s="676"/>
      <c r="CJ18" s="676"/>
      <c r="CK18" s="676"/>
      <c r="CL18" s="676"/>
      <c r="CM18" s="676"/>
      <c r="CN18" s="676"/>
      <c r="CO18" s="676"/>
      <c r="CP18" s="676"/>
      <c r="CQ18" s="676"/>
      <c r="CR18" s="676"/>
      <c r="CS18" s="676"/>
      <c r="CT18" s="676"/>
      <c r="CU18" s="676"/>
      <c r="CV18" s="676"/>
      <c r="CW18" s="676"/>
    </row>
    <row r="19" spans="2:101" ht="19.5" customHeight="1" x14ac:dyDescent="0.3">
      <c r="B19" s="243" t="s">
        <v>49</v>
      </c>
      <c r="C19" s="676"/>
      <c r="D19" s="253">
        <f>'Provider Relief (expired)'!D11</f>
        <v>0</v>
      </c>
      <c r="E19" s="212">
        <f>'Provider Relief (expired)'!E11</f>
        <v>0</v>
      </c>
      <c r="F19" s="212">
        <f>'Provider Relief (expired)'!F11</f>
        <v>0</v>
      </c>
      <c r="G19" s="212">
        <f>'Provider Relief (expired)'!G11</f>
        <v>0</v>
      </c>
      <c r="H19" s="212">
        <f>'Provider Relief (expired)'!H11</f>
        <v>0</v>
      </c>
      <c r="I19" s="212">
        <f>'Provider Relief (expired)'!I11</f>
        <v>0</v>
      </c>
      <c r="J19" s="212">
        <f>'Provider Relief (expired)'!J11</f>
        <v>160.9</v>
      </c>
      <c r="K19" s="212">
        <f>'Provider Relief (expired)'!K11</f>
        <v>58.4</v>
      </c>
      <c r="L19" s="212">
        <f>'Provider Relief (expired)'!L11</f>
        <v>34.5</v>
      </c>
      <c r="M19" s="212">
        <f>'Provider Relief (expired)'!M11</f>
        <v>21.4</v>
      </c>
      <c r="N19" s="212">
        <f>'Provider Relief (expired)'!N11</f>
        <v>13.3</v>
      </c>
      <c r="O19" s="212">
        <f>'Provider Relief (expired)'!O11</f>
        <v>18.7</v>
      </c>
      <c r="P19" s="212">
        <f>'Provider Relief (expired)'!P11</f>
        <v>32.200000000000003</v>
      </c>
      <c r="Q19" s="212">
        <f>'Provider Relief (expired)'!Q11</f>
        <v>26.9</v>
      </c>
      <c r="R19" s="212">
        <f>'Provider Relief (expired)'!R11</f>
        <v>20</v>
      </c>
      <c r="S19" s="212">
        <f>'Provider Relief (expired)'!S11</f>
        <v>8.1</v>
      </c>
      <c r="T19" s="262">
        <f>'Provider Relief (expired)'!T11</f>
        <v>4.9000000000000004</v>
      </c>
      <c r="U19" s="665">
        <f>'Provider Relief (expired)'!U11</f>
        <v>0</v>
      </c>
      <c r="V19" s="665">
        <f>'Provider Relief (expired)'!V11</f>
        <v>0</v>
      </c>
      <c r="W19" s="665">
        <f>'Provider Relief (expired)'!W11</f>
        <v>0</v>
      </c>
      <c r="X19" s="665">
        <f>'Provider Relief (expired)'!X11</f>
        <v>0</v>
      </c>
      <c r="Y19" s="665">
        <f>'Provider Relief (expired)'!Y11</f>
        <v>0</v>
      </c>
      <c r="Z19" s="665">
        <f>'Provider Relief (expired)'!Z11</f>
        <v>0</v>
      </c>
      <c r="AA19" s="665">
        <f>'Provider Relief (expired)'!AA11</f>
        <v>0</v>
      </c>
      <c r="AB19" s="665">
        <f>'Provider Relief (expired)'!AB11</f>
        <v>0</v>
      </c>
      <c r="AC19" s="677">
        <f>'Provider Relief (expired)'!AC11</f>
        <v>0</v>
      </c>
      <c r="AE19" s="676"/>
      <c r="AF19" s="676"/>
      <c r="AG19" s="676"/>
      <c r="AH19" s="676"/>
      <c r="AI19" s="676"/>
      <c r="AJ19" s="676"/>
      <c r="AK19" s="676"/>
      <c r="AL19" s="676"/>
      <c r="AM19" s="676"/>
      <c r="AN19" s="676"/>
      <c r="AO19" s="676"/>
      <c r="AP19" s="676"/>
      <c r="AQ19" s="676"/>
      <c r="AR19" s="676"/>
      <c r="AS19" s="676"/>
      <c r="AT19" s="676"/>
      <c r="AU19" s="676"/>
      <c r="AV19" s="676"/>
      <c r="AW19" s="676"/>
      <c r="AX19" s="676"/>
      <c r="AY19" s="676"/>
      <c r="AZ19" s="676"/>
      <c r="BA19" s="676"/>
      <c r="BB19" s="676"/>
      <c r="BC19" s="676"/>
      <c r="BD19" s="676"/>
      <c r="BE19" s="676"/>
      <c r="BF19" s="676"/>
      <c r="BG19" s="676"/>
      <c r="BH19" s="676"/>
      <c r="BI19" s="676"/>
      <c r="BJ19" s="676"/>
      <c r="BK19" s="676"/>
      <c r="BL19" s="676"/>
      <c r="BM19" s="676"/>
      <c r="BN19" s="676"/>
      <c r="BO19" s="676"/>
      <c r="BP19" s="676"/>
      <c r="BQ19" s="676"/>
      <c r="BR19" s="676"/>
      <c r="BS19" s="676"/>
      <c r="BT19" s="676"/>
      <c r="BU19" s="676"/>
      <c r="BV19" s="676"/>
      <c r="BW19" s="676"/>
      <c r="BX19" s="676"/>
      <c r="BY19" s="676"/>
      <c r="BZ19" s="676"/>
      <c r="CA19" s="676"/>
      <c r="CB19" s="676"/>
      <c r="CC19" s="676"/>
      <c r="CD19" s="676"/>
      <c r="CE19" s="676"/>
      <c r="CF19" s="676"/>
      <c r="CG19" s="676"/>
      <c r="CH19" s="676"/>
      <c r="CI19" s="676"/>
      <c r="CJ19" s="676"/>
      <c r="CK19" s="676"/>
      <c r="CL19" s="676"/>
      <c r="CM19" s="676"/>
      <c r="CN19" s="676"/>
      <c r="CO19" s="676"/>
      <c r="CP19" s="676"/>
      <c r="CQ19" s="676"/>
      <c r="CR19" s="676"/>
      <c r="CS19" s="676"/>
      <c r="CT19" s="676"/>
      <c r="CU19" s="676"/>
      <c r="CV19" s="676"/>
      <c r="CW19" s="676"/>
    </row>
    <row r="20" spans="2:101" ht="36.6" customHeight="1" x14ac:dyDescent="0.3">
      <c r="B20" s="243" t="s">
        <v>1516</v>
      </c>
      <c r="C20" s="213"/>
      <c r="D20" s="254">
        <f>D42</f>
        <v>0</v>
      </c>
      <c r="E20" s="209">
        <f t="shared" ref="E20:AC20" si="1">E42</f>
        <v>0</v>
      </c>
      <c r="F20" s="209">
        <f t="shared" si="1"/>
        <v>0</v>
      </c>
      <c r="G20" s="209">
        <f t="shared" si="1"/>
        <v>0</v>
      </c>
      <c r="H20" s="209">
        <f t="shared" si="1"/>
        <v>0</v>
      </c>
      <c r="I20" s="545">
        <f t="shared" si="1"/>
        <v>5.0234999999999914</v>
      </c>
      <c r="J20" s="545">
        <f t="shared" si="1"/>
        <v>45.406499999999987</v>
      </c>
      <c r="K20" s="545">
        <f t="shared" si="1"/>
        <v>50.178499999999993</v>
      </c>
      <c r="L20" s="545">
        <f t="shared" si="1"/>
        <v>60.014499999999991</v>
      </c>
      <c r="M20" s="545">
        <f t="shared" si="1"/>
        <v>86.04249999999999</v>
      </c>
      <c r="N20" s="545">
        <f t="shared" si="1"/>
        <v>100.69149999999999</v>
      </c>
      <c r="O20" s="545">
        <f t="shared" si="1"/>
        <v>95.460499999999996</v>
      </c>
      <c r="P20" s="545">
        <f t="shared" si="1"/>
        <v>100.72550000000001</v>
      </c>
      <c r="Q20" s="545">
        <f t="shared" si="1"/>
        <v>80.643499999999989</v>
      </c>
      <c r="R20" s="545">
        <f t="shared" si="1"/>
        <v>63.702499999999993</v>
      </c>
      <c r="S20" s="545">
        <f t="shared" si="1"/>
        <v>56.879499999999986</v>
      </c>
      <c r="T20" s="654">
        <f t="shared" si="1"/>
        <v>71.508499999999998</v>
      </c>
      <c r="U20" s="646">
        <f t="shared" si="1"/>
        <v>67.933074999999988</v>
      </c>
      <c r="V20" s="646">
        <f t="shared" si="1"/>
        <v>67.933074999999988</v>
      </c>
      <c r="W20" s="646">
        <f t="shared" si="1"/>
        <v>67.933074999999988</v>
      </c>
      <c r="X20" s="646">
        <f t="shared" si="1"/>
        <v>67.933074999999988</v>
      </c>
      <c r="Y20" s="646">
        <f t="shared" si="1"/>
        <v>67.933074999999988</v>
      </c>
      <c r="Z20" s="646">
        <f t="shared" si="1"/>
        <v>67.933074999999988</v>
      </c>
      <c r="AA20" s="646">
        <f t="shared" si="1"/>
        <v>67.933074999999988</v>
      </c>
      <c r="AB20" s="646">
        <f t="shared" si="1"/>
        <v>67.933074999999988</v>
      </c>
      <c r="AC20" s="647">
        <f t="shared" si="1"/>
        <v>67.933074999999988</v>
      </c>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row>
    <row r="21" spans="2:101" ht="15.6" customHeight="1" x14ac:dyDescent="0.3">
      <c r="B21" s="243" t="s">
        <v>851</v>
      </c>
      <c r="C21" s="213" t="s">
        <v>879</v>
      </c>
      <c r="D21" s="253">
        <v>30</v>
      </c>
      <c r="E21" s="212">
        <v>30</v>
      </c>
      <c r="F21" s="212">
        <v>30</v>
      </c>
      <c r="G21" s="212">
        <v>30</v>
      </c>
      <c r="H21" s="212">
        <v>30</v>
      </c>
      <c r="I21" s="212">
        <v>30</v>
      </c>
      <c r="J21" s="212">
        <v>30</v>
      </c>
      <c r="K21" s="211">
        <v>30.2</v>
      </c>
      <c r="L21" s="211">
        <v>30.2</v>
      </c>
      <c r="M21" s="211">
        <f>'Haver Pivoted'!GX89</f>
        <v>34.4</v>
      </c>
      <c r="N21" s="211">
        <f>'Haver Pivoted'!GY89</f>
        <v>34.4</v>
      </c>
      <c r="O21" s="211">
        <f>'Haver Pivoted'!GZ89</f>
        <v>218.933333333333</v>
      </c>
      <c r="P21" s="211">
        <f>'Haver Pivoted'!HA89</f>
        <v>223.13333333333301</v>
      </c>
      <c r="Q21" s="211">
        <f>'Haver Pivoted'!HB89</f>
        <v>94.3</v>
      </c>
      <c r="R21" s="211">
        <f>'Haver Pivoted'!HC89</f>
        <v>94.3</v>
      </c>
      <c r="S21" s="651">
        <f>'Haver Pivoted'!HD89</f>
        <v>94.3</v>
      </c>
      <c r="T21" s="655">
        <f>'Haver Pivoted'!HE89</f>
        <v>94.3</v>
      </c>
      <c r="U21" s="646">
        <v>34</v>
      </c>
      <c r="V21" s="646">
        <v>34</v>
      </c>
      <c r="W21" s="646">
        <v>34</v>
      </c>
      <c r="X21" s="646">
        <v>34</v>
      </c>
      <c r="Y21" s="646">
        <v>34</v>
      </c>
      <c r="Z21" s="646">
        <v>34</v>
      </c>
      <c r="AA21" s="646">
        <v>34</v>
      </c>
      <c r="AB21" s="646">
        <v>34</v>
      </c>
      <c r="AC21" s="647">
        <v>34</v>
      </c>
    </row>
    <row r="22" spans="2:101" ht="21.6" customHeight="1" x14ac:dyDescent="0.3">
      <c r="B22" s="243" t="s">
        <v>520</v>
      </c>
      <c r="C22" s="213"/>
      <c r="D22" s="254"/>
      <c r="E22" s="209"/>
      <c r="F22" s="209"/>
      <c r="G22" s="209"/>
      <c r="H22" s="545"/>
      <c r="I22" s="545"/>
      <c r="J22" s="545">
        <f>'PPP (expired)'!J53</f>
        <v>57.2</v>
      </c>
      <c r="K22" s="545">
        <f>'PPP (expired)'!K53</f>
        <v>81.2</v>
      </c>
      <c r="L22" s="545">
        <f>'PPP (expired)'!L53</f>
        <v>24.4</v>
      </c>
      <c r="M22" s="545">
        <f>'PPP (expired)'!M53</f>
        <v>11.7</v>
      </c>
      <c r="N22" s="545">
        <f>'PPP (expired)'!N53</f>
        <v>28.5</v>
      </c>
      <c r="O22" s="545">
        <f>'PPP (expired)'!O53</f>
        <v>18.8</v>
      </c>
      <c r="P22" s="545">
        <f>'PPP (expired)'!P53</f>
        <v>1.6</v>
      </c>
      <c r="Q22" s="545">
        <f>'PPP (expired)'!Q53</f>
        <v>0</v>
      </c>
      <c r="R22" s="545">
        <f>'PPP (expired)'!Q61</f>
        <v>0</v>
      </c>
      <c r="S22" s="545">
        <f>'PPP (expired)'!S53</f>
        <v>0</v>
      </c>
      <c r="T22" s="654">
        <f>'PPP (expired)'!T53</f>
        <v>0</v>
      </c>
      <c r="U22" s="646">
        <f>'PPP (expired)'!U53</f>
        <v>0</v>
      </c>
      <c r="V22" s="646">
        <f>'PPP (expired)'!V53</f>
        <v>0</v>
      </c>
      <c r="W22" s="646">
        <f>'PPP (expired)'!W53</f>
        <v>0</v>
      </c>
      <c r="X22" s="646">
        <f>'PPP (expired)'!X53</f>
        <v>0</v>
      </c>
      <c r="Y22" s="646">
        <f>'PPP (expired)'!Y53</f>
        <v>0</v>
      </c>
      <c r="Z22" s="646">
        <f>'PPP (expired)'!Z53</f>
        <v>0</v>
      </c>
      <c r="AA22" s="646">
        <f>'PPP (expired)'!AA53</f>
        <v>0</v>
      </c>
      <c r="AB22" s="646">
        <f>'PPP (expired)'!AB53</f>
        <v>0</v>
      </c>
      <c r="AC22" s="647">
        <f>'PPP (expired)'!AC53</f>
        <v>0</v>
      </c>
    </row>
    <row r="23" spans="2:101" ht="21.6" customHeight="1" x14ac:dyDescent="0.3">
      <c r="B23" s="465" t="s">
        <v>852</v>
      </c>
      <c r="C23" s="213"/>
      <c r="D23" s="582">
        <f t="shared" ref="D23:AC23" si="2">D64</f>
        <v>0</v>
      </c>
      <c r="E23" s="545">
        <f t="shared" si="2"/>
        <v>0</v>
      </c>
      <c r="F23" s="545">
        <f t="shared" si="2"/>
        <v>0</v>
      </c>
      <c r="G23" s="545">
        <f t="shared" si="2"/>
        <v>0</v>
      </c>
      <c r="H23" s="545">
        <f t="shared" si="2"/>
        <v>0</v>
      </c>
      <c r="I23" s="545">
        <f t="shared" si="2"/>
        <v>-5.0235000000002401</v>
      </c>
      <c r="J23" s="545">
        <f t="shared" si="2"/>
        <v>-36.906500000000278</v>
      </c>
      <c r="K23" s="545">
        <f t="shared" si="2"/>
        <v>86.321499999999787</v>
      </c>
      <c r="L23" s="545">
        <f t="shared" si="2"/>
        <v>18.985499999999547</v>
      </c>
      <c r="M23" s="545">
        <f t="shared" si="2"/>
        <v>6.8144999999999527</v>
      </c>
      <c r="N23" s="545">
        <f t="shared" si="2"/>
        <v>-23.256340000000137</v>
      </c>
      <c r="O23" s="545">
        <f t="shared" si="2"/>
        <v>-28.106993333332866</v>
      </c>
      <c r="P23" s="545">
        <f t="shared" si="2"/>
        <v>-48.677833333332956</v>
      </c>
      <c r="Q23" s="545">
        <f t="shared" si="2"/>
        <v>-29.785220000000209</v>
      </c>
      <c r="R23" s="545">
        <f t="shared" si="2"/>
        <v>-28.244220000000269</v>
      </c>
      <c r="S23" s="545">
        <f t="shared" si="2"/>
        <v>-31.321220000000267</v>
      </c>
      <c r="T23" s="654">
        <f t="shared" si="2"/>
        <v>10.909779999999955</v>
      </c>
      <c r="U23" s="646">
        <f t="shared" si="2"/>
        <v>10.909779999999955</v>
      </c>
      <c r="V23" s="646">
        <f t="shared" si="2"/>
        <v>10.909779999999955</v>
      </c>
      <c r="W23" s="646">
        <f t="shared" si="2"/>
        <v>10.909779999999955</v>
      </c>
      <c r="X23" s="646">
        <f t="shared" si="2"/>
        <v>10.909779999999955</v>
      </c>
      <c r="Y23" s="646">
        <f t="shared" si="2"/>
        <v>10.909779999999955</v>
      </c>
      <c r="Z23" s="646">
        <f t="shared" si="2"/>
        <v>10.909779999999955</v>
      </c>
      <c r="AA23" s="646">
        <f t="shared" si="2"/>
        <v>10.909779999999955</v>
      </c>
      <c r="AB23" s="646">
        <f t="shared" si="2"/>
        <v>10.909779999999955</v>
      </c>
      <c r="AC23" s="647">
        <f t="shared" si="2"/>
        <v>10.909779999999955</v>
      </c>
    </row>
    <row r="24" spans="2:101" ht="21" customHeight="1" x14ac:dyDescent="0.3">
      <c r="B24" s="244" t="s">
        <v>849</v>
      </c>
      <c r="C24" s="232"/>
      <c r="D24" s="664">
        <f t="shared" ref="D24:AC24" si="3">D18+D19</f>
        <v>0</v>
      </c>
      <c r="E24" s="625">
        <f t="shared" si="3"/>
        <v>0</v>
      </c>
      <c r="F24" s="625">
        <f t="shared" si="3"/>
        <v>0</v>
      </c>
      <c r="G24" s="625">
        <f t="shared" si="3"/>
        <v>0</v>
      </c>
      <c r="H24" s="625">
        <f t="shared" si="3"/>
        <v>0</v>
      </c>
      <c r="I24" s="625">
        <f t="shared" si="3"/>
        <v>0</v>
      </c>
      <c r="J24" s="625">
        <f t="shared" si="3"/>
        <v>160.9</v>
      </c>
      <c r="K24" s="625">
        <f t="shared" si="3"/>
        <v>58.4</v>
      </c>
      <c r="L24" s="625">
        <f t="shared" si="3"/>
        <v>34.5</v>
      </c>
      <c r="M24" s="625">
        <f t="shared" si="3"/>
        <v>21.4</v>
      </c>
      <c r="N24" s="625">
        <f t="shared" si="3"/>
        <v>13.3</v>
      </c>
      <c r="O24" s="625">
        <f t="shared" si="3"/>
        <v>21.804000000000041</v>
      </c>
      <c r="P24" s="553">
        <f>P18+P19</f>
        <v>51.919000000000011</v>
      </c>
      <c r="Q24" s="625">
        <f t="shared" si="3"/>
        <v>46.619</v>
      </c>
      <c r="R24" s="625">
        <f t="shared" si="3"/>
        <v>39.719000000000008</v>
      </c>
      <c r="S24" s="625">
        <f t="shared" si="3"/>
        <v>27.819000000000003</v>
      </c>
      <c r="T24" s="656">
        <f t="shared" si="3"/>
        <v>6.3160000000000007</v>
      </c>
      <c r="U24" s="648">
        <f t="shared" si="3"/>
        <v>1.4159999999999999</v>
      </c>
      <c r="V24" s="648">
        <f t="shared" si="3"/>
        <v>1.4159999999999999</v>
      </c>
      <c r="W24" s="648">
        <f t="shared" si="3"/>
        <v>1.4159999999999999</v>
      </c>
      <c r="X24" s="648">
        <f t="shared" si="3"/>
        <v>1.4790000000000001</v>
      </c>
      <c r="Y24" s="648">
        <f t="shared" si="3"/>
        <v>1.4790000000000001</v>
      </c>
      <c r="Z24" s="648">
        <f t="shared" si="3"/>
        <v>1.4790000000000001</v>
      </c>
      <c r="AA24" s="648">
        <f t="shared" si="3"/>
        <v>1.4790000000000001</v>
      </c>
      <c r="AB24" s="648">
        <f t="shared" si="3"/>
        <v>1.63</v>
      </c>
      <c r="AC24" s="649">
        <f t="shared" si="3"/>
        <v>1.63</v>
      </c>
    </row>
    <row r="25" spans="2:101" ht="44.85" customHeight="1" x14ac:dyDescent="0.3">
      <c r="B25" s="243" t="s">
        <v>857</v>
      </c>
      <c r="C25" s="213"/>
      <c r="D25" s="582">
        <f t="shared" ref="D25:AC25" si="4">D56</f>
        <v>1411.2</v>
      </c>
      <c r="E25" s="545">
        <f t="shared" si="4"/>
        <v>1471.4</v>
      </c>
      <c r="F25" s="545">
        <f t="shared" si="4"/>
        <v>1476.7</v>
      </c>
      <c r="G25" s="545">
        <f t="shared" si="4"/>
        <v>1483.7</v>
      </c>
      <c r="H25" s="545">
        <f t="shared" si="4"/>
        <v>1492.4000000000003</v>
      </c>
      <c r="I25" s="545">
        <f t="shared" si="4"/>
        <v>1541.5000000000002</v>
      </c>
      <c r="J25" s="545">
        <f t="shared" si="4"/>
        <v>1548.5000000000002</v>
      </c>
      <c r="K25" s="545">
        <f t="shared" si="4"/>
        <v>1555.5000000000002</v>
      </c>
      <c r="L25" s="545">
        <f t="shared" si="4"/>
        <v>1562.5000000000002</v>
      </c>
      <c r="M25" s="545">
        <f t="shared" si="4"/>
        <v>1586.9430000000002</v>
      </c>
      <c r="N25" s="545">
        <f t="shared" si="4"/>
        <v>1593.9430000000002</v>
      </c>
      <c r="O25" s="545">
        <f t="shared" si="4"/>
        <v>1600.9430000000002</v>
      </c>
      <c r="P25" s="545">
        <f>P56</f>
        <v>1607.9430000000002</v>
      </c>
      <c r="Q25" s="545">
        <f t="shared" si="4"/>
        <v>1686.8657200000002</v>
      </c>
      <c r="R25" s="545">
        <f t="shared" si="4"/>
        <v>1693.8657200000002</v>
      </c>
      <c r="S25" s="545">
        <f t="shared" si="4"/>
        <v>1700.8657200000002</v>
      </c>
      <c r="T25" s="654">
        <f t="shared" si="4"/>
        <v>1707.8657200000002</v>
      </c>
      <c r="U25" s="646">
        <f t="shared" si="4"/>
        <v>1821.5289380000004</v>
      </c>
      <c r="V25" s="646">
        <f t="shared" si="4"/>
        <v>1828.5289380000004</v>
      </c>
      <c r="W25" s="646">
        <f t="shared" si="4"/>
        <v>1835.5289380000004</v>
      </c>
      <c r="X25" s="646">
        <f t="shared" si="4"/>
        <v>1842.5289380000004</v>
      </c>
      <c r="Y25" s="646">
        <f t="shared" si="4"/>
        <v>1891.9374640362005</v>
      </c>
      <c r="Z25" s="646">
        <f t="shared" si="4"/>
        <v>1898.9374640362005</v>
      </c>
      <c r="AA25" s="646">
        <f t="shared" si="4"/>
        <v>1905.9374640362005</v>
      </c>
      <c r="AB25" s="646">
        <f t="shared" si="4"/>
        <v>1912.9374640362005</v>
      </c>
      <c r="AC25" s="647">
        <f t="shared" si="4"/>
        <v>1949.4248617408166</v>
      </c>
    </row>
    <row r="26" spans="2:101" ht="44.85" customHeight="1" x14ac:dyDescent="0.3">
      <c r="B26" s="389" t="s">
        <v>1261</v>
      </c>
      <c r="D26" s="582"/>
      <c r="E26" s="545"/>
      <c r="F26" s="545"/>
      <c r="G26" s="545"/>
      <c r="H26" s="545"/>
      <c r="I26" s="545"/>
      <c r="J26" s="545"/>
      <c r="K26" s="545"/>
      <c r="L26" s="545"/>
      <c r="M26" s="545"/>
      <c r="N26" s="545"/>
      <c r="O26" s="545"/>
      <c r="P26" s="545"/>
      <c r="Q26" s="545"/>
      <c r="R26" s="545"/>
      <c r="S26" s="641">
        <f>'IRA and CHIPS'!E191</f>
        <v>-0.622</v>
      </c>
      <c r="T26" s="642">
        <f>'IRA and CHIPS'!F191</f>
        <v>21.89</v>
      </c>
      <c r="U26" s="643">
        <f>'IRA and CHIPS'!G191</f>
        <v>21.89</v>
      </c>
      <c r="V26" s="643">
        <f>'IRA and CHIPS'!H191</f>
        <v>21.89</v>
      </c>
      <c r="W26" s="643">
        <f>'IRA and CHIPS'!I191</f>
        <v>21.89</v>
      </c>
      <c r="X26" s="643">
        <f>'IRA and CHIPS'!J191</f>
        <v>15.439</v>
      </c>
      <c r="Y26" s="643">
        <f>'IRA and CHIPS'!K191</f>
        <v>15.439</v>
      </c>
      <c r="Z26" s="643">
        <f>'IRA and CHIPS'!L191</f>
        <v>15.439</v>
      </c>
      <c r="AA26" s="643">
        <f>'IRA and CHIPS'!M191</f>
        <v>15.439</v>
      </c>
      <c r="AB26" s="643">
        <f>'IRA and CHIPS'!N191</f>
        <v>16.966999999999999</v>
      </c>
      <c r="AC26" s="644">
        <f>'IRA and CHIPS'!O191</f>
        <v>16.966999999999999</v>
      </c>
    </row>
    <row r="27" spans="2:101" ht="31.35" customHeight="1" x14ac:dyDescent="0.3">
      <c r="B27" s="567" t="s">
        <v>853</v>
      </c>
      <c r="C27" s="232"/>
      <c r="D27" s="553">
        <f t="shared" ref="D27:R27" si="5">D25+SUM(D20:D23)+D26</f>
        <v>1441.2</v>
      </c>
      <c r="E27" s="553">
        <f t="shared" si="5"/>
        <v>1501.4</v>
      </c>
      <c r="F27" s="553">
        <f t="shared" si="5"/>
        <v>1506.7</v>
      </c>
      <c r="G27" s="553">
        <f t="shared" si="5"/>
        <v>1513.7</v>
      </c>
      <c r="H27" s="553">
        <f t="shared" si="5"/>
        <v>1522.4000000000003</v>
      </c>
      <c r="I27" s="553">
        <f t="shared" si="5"/>
        <v>1571.5</v>
      </c>
      <c r="J27" s="553">
        <f t="shared" si="5"/>
        <v>1644.1999999999998</v>
      </c>
      <c r="K27" s="553">
        <f t="shared" si="5"/>
        <v>1803.4</v>
      </c>
      <c r="L27" s="553">
        <f t="shared" si="5"/>
        <v>1696.0999999999997</v>
      </c>
      <c r="M27" s="553">
        <f t="shared" si="5"/>
        <v>1725.9</v>
      </c>
      <c r="N27" s="553">
        <f t="shared" si="5"/>
        <v>1734.2781600000001</v>
      </c>
      <c r="O27" s="553">
        <f t="shared" si="5"/>
        <v>1906.0298400000004</v>
      </c>
      <c r="P27" s="553">
        <f t="shared" si="5"/>
        <v>1884.7240000000002</v>
      </c>
      <c r="Q27" s="553">
        <f t="shared" si="5"/>
        <v>1832.0239999999999</v>
      </c>
      <c r="R27" s="553">
        <f t="shared" si="5"/>
        <v>1823.624</v>
      </c>
      <c r="S27" s="553">
        <f>S25+SUM(S20:S23)+S26</f>
        <v>1820.1019999999999</v>
      </c>
      <c r="T27" s="553">
        <f t="shared" ref="T27" si="6">T25+SUM(T20:T23)+T26</f>
        <v>1906.4740000000004</v>
      </c>
      <c r="U27" s="561">
        <f t="shared" ref="U27" si="7">U25+SUM(U20:U23)+U26</f>
        <v>1956.2617930000004</v>
      </c>
      <c r="V27" s="561">
        <f t="shared" ref="V27" si="8">V25+SUM(V20:V23)+V26</f>
        <v>1963.2617930000004</v>
      </c>
      <c r="W27" s="561">
        <f t="shared" ref="W27" si="9">W25+SUM(W20:W23)+W26</f>
        <v>1970.2617930000004</v>
      </c>
      <c r="X27" s="561">
        <f t="shared" ref="X27" si="10">X25+SUM(X20:X23)+X26</f>
        <v>1970.8107930000003</v>
      </c>
      <c r="Y27" s="561">
        <f t="shared" ref="Y27" si="11">Y25+SUM(Y20:Y23)+Y26</f>
        <v>2020.2193190362004</v>
      </c>
      <c r="Z27" s="561">
        <f t="shared" ref="Z27" si="12">Z25+SUM(Z20:Z23)+Z26</f>
        <v>2027.2193190362004</v>
      </c>
      <c r="AA27" s="561">
        <f t="shared" ref="AA27" si="13">AA25+SUM(AA20:AA23)+AA26</f>
        <v>2034.2193190362004</v>
      </c>
      <c r="AB27" s="561">
        <f t="shared" ref="AB27" si="14">AB25+SUM(AB20:AB23)+AB26</f>
        <v>2042.7473190362005</v>
      </c>
      <c r="AC27" s="561">
        <f t="shared" ref="AC27" si="15">AC25+SUM(AC20:AC23)+AC26</f>
        <v>2079.2347167408166</v>
      </c>
    </row>
    <row r="28" spans="2:101" ht="31.35" customHeight="1" x14ac:dyDescent="0.3">
      <c r="B28" s="1369" t="s">
        <v>523</v>
      </c>
      <c r="C28" s="1370"/>
      <c r="D28" s="555"/>
      <c r="E28" s="556"/>
      <c r="F28" s="556"/>
      <c r="G28" s="556"/>
      <c r="H28" s="556"/>
      <c r="I28" s="556"/>
      <c r="J28" s="556"/>
      <c r="K28" s="556"/>
      <c r="L28" s="556"/>
      <c r="M28" s="556"/>
      <c r="N28" s="556"/>
      <c r="O28" s="556"/>
      <c r="P28" s="556"/>
      <c r="Q28" s="556"/>
      <c r="R28" s="556"/>
      <c r="S28" s="556"/>
      <c r="T28" s="657"/>
      <c r="U28" s="561"/>
      <c r="V28" s="561"/>
      <c r="W28" s="561"/>
      <c r="X28" s="561"/>
      <c r="Y28" s="561"/>
      <c r="Z28" s="561"/>
      <c r="AA28" s="561"/>
      <c r="AB28" s="561"/>
      <c r="AC28" s="669"/>
    </row>
    <row r="29" spans="2:101" x14ac:dyDescent="0.3">
      <c r="B29" s="465" t="s">
        <v>859</v>
      </c>
      <c r="C29" s="213" t="s">
        <v>524</v>
      </c>
      <c r="D29" s="254">
        <f>'Haver Pivoted'!GO37</f>
        <v>734.3</v>
      </c>
      <c r="E29" s="209">
        <f>'Haver Pivoted'!GP37</f>
        <v>745.2</v>
      </c>
      <c r="F29" s="209">
        <f>'Haver Pivoted'!GQ37</f>
        <v>763.2</v>
      </c>
      <c r="G29" s="209">
        <f>'Haver Pivoted'!GR37</f>
        <v>773.5</v>
      </c>
      <c r="H29" s="209">
        <f>'Haver Pivoted'!GS37</f>
        <v>773.8</v>
      </c>
      <c r="I29" s="209">
        <f>'Haver Pivoted'!GT37</f>
        <v>762.4</v>
      </c>
      <c r="J29" s="209">
        <f>'Haver Pivoted'!GU37</f>
        <v>813.3</v>
      </c>
      <c r="K29" s="209">
        <f>'Haver Pivoted'!GV37</f>
        <v>851.9</v>
      </c>
      <c r="L29" s="209">
        <f>'Haver Pivoted'!GW37</f>
        <v>840.6</v>
      </c>
      <c r="M29" s="209">
        <f>'Haver Pivoted'!GX37</f>
        <v>868</v>
      </c>
      <c r="N29" s="209">
        <f>'Haver Pivoted'!GY37</f>
        <v>910.1</v>
      </c>
      <c r="O29" s="209">
        <f>'Haver Pivoted'!GZ37</f>
        <v>918.1</v>
      </c>
      <c r="P29" s="209">
        <f>'Haver Pivoted'!HA37</f>
        <v>915.2</v>
      </c>
      <c r="Q29" s="209">
        <f>'Haver Pivoted'!HB37</f>
        <v>934.7</v>
      </c>
      <c r="R29" s="209">
        <f>'Haver Pivoted'!HC37</f>
        <v>962.7</v>
      </c>
      <c r="S29" s="94">
        <f>'Haver Pivoted'!HD37</f>
        <v>982.9</v>
      </c>
      <c r="T29" s="94">
        <f>'Haver Pivoted'!HE37</f>
        <v>1043</v>
      </c>
      <c r="U29" s="666"/>
      <c r="V29" s="666"/>
      <c r="W29" s="666"/>
      <c r="X29" s="666"/>
      <c r="Y29" s="666"/>
      <c r="Z29" s="666"/>
      <c r="AA29" s="666"/>
      <c r="AB29" s="666"/>
      <c r="AC29" s="687"/>
    </row>
    <row r="30" spans="2:101" x14ac:dyDescent="0.3">
      <c r="B30" s="544" t="s">
        <v>209</v>
      </c>
      <c r="C30" s="213"/>
      <c r="D30" s="582">
        <f>Medicaid!D26</f>
        <v>589.5</v>
      </c>
      <c r="E30" s="545">
        <f>Medicaid!E26</f>
        <v>598.70000000000005</v>
      </c>
      <c r="F30" s="545">
        <f>Medicaid!F26</f>
        <v>614.4</v>
      </c>
      <c r="G30" s="545">
        <f>Medicaid!G26</f>
        <v>622.4</v>
      </c>
      <c r="H30" s="545">
        <f>Medicaid!H26</f>
        <v>620.70000000000005</v>
      </c>
      <c r="I30" s="545">
        <f>Medicaid!I26</f>
        <v>606.6</v>
      </c>
      <c r="J30" s="545">
        <f>Medicaid!J26</f>
        <v>654.70000000000005</v>
      </c>
      <c r="K30" s="545">
        <f>Medicaid!K26</f>
        <v>690.7</v>
      </c>
      <c r="L30" s="545">
        <f>Medicaid!L26</f>
        <v>678.3</v>
      </c>
      <c r="M30" s="545">
        <f>Medicaid!M26</f>
        <v>704.4</v>
      </c>
      <c r="N30" s="545">
        <f>Medicaid!N26</f>
        <v>744.8</v>
      </c>
      <c r="O30" s="545">
        <f>Medicaid!O26</f>
        <v>748.2</v>
      </c>
      <c r="P30" s="545">
        <f>Medicaid!P26</f>
        <v>745</v>
      </c>
      <c r="Q30" s="545">
        <f>Medicaid!Q26</f>
        <v>763.1</v>
      </c>
      <c r="R30" s="545">
        <f>Medicaid!R26</f>
        <v>789.5</v>
      </c>
      <c r="S30" s="94">
        <f>Medicaid!S26</f>
        <v>786.1</v>
      </c>
      <c r="T30" s="654">
        <f>Medicaid!T26</f>
        <v>793.3</v>
      </c>
      <c r="U30" s="646">
        <f>Medicaid!U26</f>
        <v>796.61590660115485</v>
      </c>
      <c r="V30" s="646">
        <f>Medicaid!V26</f>
        <v>799.94567332658505</v>
      </c>
      <c r="W30" s="646">
        <f>Medicaid!W26</f>
        <v>803.28935811008296</v>
      </c>
      <c r="X30" s="646">
        <f>Medicaid!X26</f>
        <v>794.10612096664613</v>
      </c>
      <c r="Y30" s="646">
        <f>Medicaid!Y26</f>
        <v>785.02786696979422</v>
      </c>
      <c r="Z30" s="646">
        <f>Medicaid!Z26</f>
        <v>776.05339594785642</v>
      </c>
      <c r="AA30" s="646">
        <f>Medicaid!AA26</f>
        <v>767.18152144957389</v>
      </c>
      <c r="AB30" s="646">
        <f>Medicaid!AB26</f>
        <v>758.41107058724765</v>
      </c>
      <c r="AC30" s="647">
        <f>Medicaid!AC26</f>
        <v>749.74088388167945</v>
      </c>
    </row>
    <row r="31" spans="2:101" ht="14.85" customHeight="1" x14ac:dyDescent="0.3">
      <c r="B31" s="567" t="s">
        <v>860</v>
      </c>
      <c r="C31" s="232"/>
      <c r="D31" s="581">
        <f>D29-D30</f>
        <v>144.79999999999995</v>
      </c>
      <c r="E31" s="553">
        <f t="shared" ref="E31:O31" si="16">E29-E30</f>
        <v>146.5</v>
      </c>
      <c r="F31" s="553">
        <f t="shared" si="16"/>
        <v>148.80000000000007</v>
      </c>
      <c r="G31" s="553">
        <f t="shared" si="16"/>
        <v>151.10000000000002</v>
      </c>
      <c r="H31" s="553">
        <f t="shared" si="16"/>
        <v>153.09999999999991</v>
      </c>
      <c r="I31" s="553">
        <f t="shared" si="16"/>
        <v>155.79999999999995</v>
      </c>
      <c r="J31" s="553">
        <f t="shared" si="16"/>
        <v>158.59999999999991</v>
      </c>
      <c r="K31" s="553">
        <f t="shared" si="16"/>
        <v>161.19999999999993</v>
      </c>
      <c r="L31" s="553">
        <f t="shared" si="16"/>
        <v>162.30000000000007</v>
      </c>
      <c r="M31" s="553">
        <f t="shared" si="16"/>
        <v>163.60000000000002</v>
      </c>
      <c r="N31" s="553">
        <f t="shared" si="16"/>
        <v>165.30000000000007</v>
      </c>
      <c r="O31" s="553">
        <f t="shared" si="16"/>
        <v>169.89999999999998</v>
      </c>
      <c r="P31" s="553">
        <f>P29-P30</f>
        <v>170.20000000000005</v>
      </c>
      <c r="Q31" s="553">
        <f>Q29-Q30</f>
        <v>171.60000000000002</v>
      </c>
      <c r="R31" s="553">
        <f>R29-R30</f>
        <v>173.20000000000005</v>
      </c>
      <c r="S31" s="94">
        <f>S29-S30</f>
        <v>196.79999999999995</v>
      </c>
      <c r="T31" s="94">
        <f>T29-T30</f>
        <v>249.70000000000005</v>
      </c>
      <c r="U31" s="561">
        <f>T31*(1+AVERAGE($F$33:$I$33))+U32</f>
        <v>183.57212584485049</v>
      </c>
      <c r="V31" s="561">
        <f t="shared" ref="V31:AC31" si="17">U31*(1+AVERAGE($F$33:$I$33))</f>
        <v>186.41879934456207</v>
      </c>
      <c r="W31" s="561">
        <f t="shared" si="17"/>
        <v>189.30961652881547</v>
      </c>
      <c r="X31" s="561">
        <f t="shared" si="17"/>
        <v>192.24526193866711</v>
      </c>
      <c r="Y31" s="561">
        <f t="shared" si="17"/>
        <v>195.22643073042826</v>
      </c>
      <c r="Z31" s="561">
        <f t="shared" si="17"/>
        <v>198.25382884027687</v>
      </c>
      <c r="AA31" s="561">
        <f t="shared" si="17"/>
        <v>201.32817315142222</v>
      </c>
      <c r="AB31" s="561">
        <f t="shared" si="17"/>
        <v>204.45019166386174</v>
      </c>
      <c r="AC31" s="669">
        <f t="shared" si="17"/>
        <v>207.62062366677031</v>
      </c>
    </row>
    <row r="32" spans="2:101" ht="14.85" customHeight="1" x14ac:dyDescent="0.3">
      <c r="B32" s="567" t="s">
        <v>1779</v>
      </c>
      <c r="C32" s="232"/>
      <c r="D32" s="581"/>
      <c r="E32" s="553"/>
      <c r="F32" s="553"/>
      <c r="G32" s="553"/>
      <c r="H32" s="553"/>
      <c r="I32" s="553"/>
      <c r="J32" s="553"/>
      <c r="K32" s="553"/>
      <c r="L32" s="553"/>
      <c r="M32" s="553"/>
      <c r="N32" s="553"/>
      <c r="O32" s="553"/>
      <c r="P32" s="553"/>
      <c r="Q32" s="553"/>
      <c r="R32" s="553"/>
      <c r="S32" s="94"/>
      <c r="T32" s="559"/>
      <c r="U32" s="561">
        <v>-70</v>
      </c>
      <c r="V32" s="561"/>
      <c r="W32" s="561"/>
      <c r="X32" s="561"/>
      <c r="Y32" s="561"/>
      <c r="Z32" s="561"/>
      <c r="AA32" s="561"/>
      <c r="AB32" s="561"/>
      <c r="AC32" s="669"/>
    </row>
    <row r="33" spans="2:29" x14ac:dyDescent="0.3">
      <c r="B33" s="615" t="s">
        <v>861</v>
      </c>
      <c r="C33" s="264"/>
      <c r="D33" s="583"/>
      <c r="E33" s="565">
        <f>E31/D31-1</f>
        <v>1.1740331491713052E-2</v>
      </c>
      <c r="F33" s="565">
        <f t="shared" ref="F33:N33" si="18">F31/E31-1</f>
        <v>1.5699658703072217E-2</v>
      </c>
      <c r="G33" s="565">
        <f t="shared" si="18"/>
        <v>1.5456989247311537E-2</v>
      </c>
      <c r="H33" s="565">
        <f t="shared" si="18"/>
        <v>1.3236267372600086E-2</v>
      </c>
      <c r="I33" s="565">
        <f t="shared" si="18"/>
        <v>1.7635532331809589E-2</v>
      </c>
      <c r="J33" s="565">
        <f t="shared" si="18"/>
        <v>1.7971758664954818E-2</v>
      </c>
      <c r="K33" s="565">
        <f t="shared" si="18"/>
        <v>1.639344262295106E-2</v>
      </c>
      <c r="L33" s="565">
        <f t="shared" si="18"/>
        <v>6.823821339951186E-3</v>
      </c>
      <c r="M33" s="565">
        <f t="shared" si="18"/>
        <v>8.0098582871224178E-3</v>
      </c>
      <c r="N33" s="565">
        <f t="shared" si="18"/>
        <v>1.0391198044010119E-2</v>
      </c>
      <c r="O33" s="565">
        <f>O31/N31-1</f>
        <v>2.7828191167573513E-2</v>
      </c>
      <c r="P33" s="565">
        <f t="shared" ref="P33:S33" si="19">P31/O31-1</f>
        <v>1.7657445556213958E-3</v>
      </c>
      <c r="Q33" s="565">
        <f t="shared" si="19"/>
        <v>8.2256169212688857E-3</v>
      </c>
      <c r="R33" s="565">
        <f t="shared" si="19"/>
        <v>9.3240093240094524E-3</v>
      </c>
      <c r="S33" s="624">
        <f t="shared" si="19"/>
        <v>0.13625866050808266</v>
      </c>
      <c r="T33" s="560"/>
      <c r="U33" s="576"/>
      <c r="V33" s="576"/>
      <c r="W33" s="576"/>
      <c r="X33" s="576"/>
      <c r="Y33" s="576"/>
      <c r="Z33" s="576"/>
      <c r="AA33" s="576"/>
      <c r="AB33" s="576"/>
      <c r="AC33" s="577"/>
    </row>
    <row r="36" spans="2:29" x14ac:dyDescent="0.3">
      <c r="P36" s="461"/>
      <c r="Q36" s="461"/>
    </row>
    <row r="37" spans="2:29" x14ac:dyDescent="0.3">
      <c r="B37" s="491" t="s">
        <v>399</v>
      </c>
      <c r="D37" s="545"/>
      <c r="E37" s="545"/>
      <c r="F37" s="545"/>
      <c r="G37" s="545"/>
      <c r="H37" s="545"/>
      <c r="I37" s="545"/>
      <c r="J37" s="545"/>
      <c r="K37" s="545"/>
      <c r="L37" s="545"/>
      <c r="M37" s="545"/>
      <c r="N37" s="545"/>
      <c r="O37" s="545"/>
      <c r="P37" s="545"/>
      <c r="Q37" s="545"/>
      <c r="R37" s="545"/>
      <c r="S37" s="545"/>
      <c r="T37" s="545"/>
      <c r="U37" s="545"/>
      <c r="V37" s="545"/>
      <c r="W37" s="545"/>
      <c r="X37" s="545"/>
      <c r="Y37" s="545"/>
      <c r="Z37" s="545"/>
      <c r="AA37" s="545"/>
      <c r="AB37" s="545"/>
      <c r="AC37" s="545"/>
    </row>
    <row r="38" spans="2:29" ht="45.75" customHeight="1" x14ac:dyDescent="0.3">
      <c r="B38" s="1371" t="s">
        <v>527</v>
      </c>
      <c r="C38" s="1371"/>
      <c r="D38" s="1371"/>
      <c r="E38" s="1371"/>
      <c r="F38" s="1371"/>
      <c r="G38" s="1371"/>
      <c r="H38" s="1371"/>
      <c r="I38" s="1371"/>
      <c r="J38" s="1371"/>
      <c r="K38" s="1371"/>
      <c r="L38" s="1371"/>
      <c r="M38" s="1371"/>
      <c r="N38" s="1371"/>
      <c r="O38" s="1371"/>
      <c r="P38" s="1371"/>
      <c r="Q38" s="1371"/>
      <c r="R38" s="1371"/>
      <c r="S38" s="1371"/>
      <c r="T38" s="1371"/>
      <c r="U38" s="1371"/>
      <c r="V38" s="1371"/>
      <c r="W38" s="1371"/>
      <c r="X38" s="1371"/>
      <c r="Y38" s="1371"/>
      <c r="Z38" s="1371"/>
      <c r="AA38" s="1371"/>
      <c r="AB38" s="1371"/>
      <c r="AC38" s="1371"/>
    </row>
    <row r="39" spans="2:29" ht="14.85" customHeight="1" x14ac:dyDescent="0.3">
      <c r="B39" s="1282" t="s">
        <v>528</v>
      </c>
      <c r="C39" s="1283"/>
      <c r="D39" s="1290" t="s">
        <v>325</v>
      </c>
      <c r="E39" s="1291"/>
      <c r="F39" s="1291"/>
      <c r="G39" s="1291"/>
      <c r="H39" s="1291"/>
      <c r="I39" s="1291"/>
      <c r="J39" s="1291"/>
      <c r="K39" s="1291"/>
      <c r="L39" s="1291"/>
      <c r="M39" s="1291"/>
      <c r="N39" s="1291"/>
      <c r="O39" s="1291"/>
      <c r="P39" s="1291"/>
      <c r="Q39" s="1316"/>
      <c r="R39" s="1316"/>
      <c r="S39" s="1316"/>
      <c r="T39" s="1281"/>
      <c r="U39" s="1294" t="s">
        <v>326</v>
      </c>
      <c r="V39" s="1294"/>
      <c r="W39" s="1294"/>
      <c r="X39" s="1294"/>
      <c r="Y39" s="1294"/>
      <c r="Z39" s="1294"/>
      <c r="AA39" s="1294"/>
      <c r="AB39" s="1294"/>
      <c r="AC39" s="1295"/>
    </row>
    <row r="40" spans="2:29" x14ac:dyDescent="0.3">
      <c r="B40" s="1282"/>
      <c r="C40" s="1283"/>
      <c r="D40" s="157">
        <v>2018</v>
      </c>
      <c r="E40" s="1273">
        <v>2019</v>
      </c>
      <c r="F40" s="1278"/>
      <c r="G40" s="1278"/>
      <c r="H40" s="1279"/>
      <c r="I40" s="1273">
        <v>2020</v>
      </c>
      <c r="J40" s="1278"/>
      <c r="K40" s="1278"/>
      <c r="L40" s="1278"/>
      <c r="M40" s="1273">
        <v>2021</v>
      </c>
      <c r="N40" s="1278"/>
      <c r="O40" s="1278"/>
      <c r="P40" s="1278"/>
      <c r="Q40" s="1273">
        <v>2022</v>
      </c>
      <c r="R40" s="1274"/>
      <c r="S40" s="1274"/>
      <c r="T40" s="1279"/>
      <c r="U40" s="1284">
        <v>2023</v>
      </c>
      <c r="V40" s="1285"/>
      <c r="W40" s="1285"/>
      <c r="X40" s="1285"/>
      <c r="Y40" s="1287">
        <v>2024</v>
      </c>
      <c r="Z40" s="1285"/>
      <c r="AA40" s="1285"/>
      <c r="AB40" s="1286"/>
      <c r="AC40" s="233">
        <v>2025</v>
      </c>
    </row>
    <row r="41" spans="2:29" x14ac:dyDescent="0.3">
      <c r="B41" s="1296"/>
      <c r="C41" s="1297"/>
      <c r="D41" s="163" t="s">
        <v>327</v>
      </c>
      <c r="E41" s="163" t="s">
        <v>328</v>
      </c>
      <c r="F41" s="176" t="s">
        <v>329</v>
      </c>
      <c r="G41" s="176" t="s">
        <v>238</v>
      </c>
      <c r="H41" s="159" t="s">
        <v>327</v>
      </c>
      <c r="I41" s="176" t="s">
        <v>328</v>
      </c>
      <c r="J41" s="176" t="s">
        <v>329</v>
      </c>
      <c r="K41" s="176" t="s">
        <v>238</v>
      </c>
      <c r="L41" s="176" t="s">
        <v>327</v>
      </c>
      <c r="M41" s="163" t="s">
        <v>328</v>
      </c>
      <c r="N41" s="176" t="s">
        <v>329</v>
      </c>
      <c r="O41" s="176" t="s">
        <v>238</v>
      </c>
      <c r="P41" s="176" t="s">
        <v>327</v>
      </c>
      <c r="Q41" s="163" t="s">
        <v>328</v>
      </c>
      <c r="R41" s="176" t="s">
        <v>329</v>
      </c>
      <c r="S41" s="176" t="s">
        <v>238</v>
      </c>
      <c r="T41" s="159" t="s">
        <v>327</v>
      </c>
      <c r="U41" s="280" t="s">
        <v>328</v>
      </c>
      <c r="V41" s="280" t="s">
        <v>329</v>
      </c>
      <c r="W41" s="280" t="s">
        <v>238</v>
      </c>
      <c r="X41" s="280" t="s">
        <v>327</v>
      </c>
      <c r="Y41" s="348" t="s">
        <v>328</v>
      </c>
      <c r="Z41" s="228" t="s">
        <v>329</v>
      </c>
      <c r="AA41" s="280" t="s">
        <v>238</v>
      </c>
      <c r="AB41" s="278" t="s">
        <v>327</v>
      </c>
      <c r="AC41" s="373" t="s">
        <v>328</v>
      </c>
    </row>
    <row r="42" spans="2:29" x14ac:dyDescent="0.3">
      <c r="B42" s="544" t="s">
        <v>1517</v>
      </c>
      <c r="D42" s="224"/>
      <c r="E42" s="225"/>
      <c r="F42" s="225"/>
      <c r="G42" s="225"/>
      <c r="H42" s="225"/>
      <c r="I42" s="549">
        <f>(I43-AVERAGE($E43:$H43))</f>
        <v>5.0234999999999914</v>
      </c>
      <c r="J42" s="549">
        <f t="shared" ref="J42:N42" si="20">(J43-AVERAGE($E43:$H43))</f>
        <v>45.406499999999987</v>
      </c>
      <c r="K42" s="549">
        <f t="shared" si="20"/>
        <v>50.178499999999993</v>
      </c>
      <c r="L42" s="549">
        <f t="shared" si="20"/>
        <v>60.014499999999991</v>
      </c>
      <c r="M42" s="549">
        <f t="shared" si="20"/>
        <v>86.04249999999999</v>
      </c>
      <c r="N42" s="549">
        <f t="shared" si="20"/>
        <v>100.69149999999999</v>
      </c>
      <c r="O42" s="549">
        <f t="shared" ref="O42:T42" si="21">(O43-AVERAGE($E43:$H43))</f>
        <v>95.460499999999996</v>
      </c>
      <c r="P42" s="549">
        <f t="shared" si="21"/>
        <v>100.72550000000001</v>
      </c>
      <c r="Q42" s="549">
        <f t="shared" si="21"/>
        <v>80.643499999999989</v>
      </c>
      <c r="R42" s="549">
        <f t="shared" si="21"/>
        <v>63.702499999999993</v>
      </c>
      <c r="S42" s="550">
        <f t="shared" si="21"/>
        <v>56.879499999999986</v>
      </c>
      <c r="T42" s="551">
        <f t="shared" si="21"/>
        <v>71.508499999999998</v>
      </c>
      <c r="U42" s="668">
        <f t="shared" ref="U42" si="22">T42*0.95</f>
        <v>67.933074999999988</v>
      </c>
      <c r="V42" s="668">
        <f>U42</f>
        <v>67.933074999999988</v>
      </c>
      <c r="W42" s="668">
        <f t="shared" ref="W42:AC42" si="23">V42</f>
        <v>67.933074999999988</v>
      </c>
      <c r="X42" s="668">
        <f t="shared" si="23"/>
        <v>67.933074999999988</v>
      </c>
      <c r="Y42" s="668">
        <f t="shared" si="23"/>
        <v>67.933074999999988</v>
      </c>
      <c r="Z42" s="668">
        <f t="shared" si="23"/>
        <v>67.933074999999988</v>
      </c>
      <c r="AA42" s="668">
        <f t="shared" si="23"/>
        <v>67.933074999999988</v>
      </c>
      <c r="AB42" s="668">
        <f t="shared" si="23"/>
        <v>67.933074999999988</v>
      </c>
      <c r="AC42" s="668">
        <f t="shared" si="23"/>
        <v>67.933074999999988</v>
      </c>
    </row>
    <row r="43" spans="2:29" x14ac:dyDescent="0.3">
      <c r="B43" s="544" t="s">
        <v>160</v>
      </c>
      <c r="C43" s="213" t="s">
        <v>529</v>
      </c>
      <c r="D43" s="254">
        <f>'Haver Pivoted'!GO66</f>
        <v>57.347000000000001</v>
      </c>
      <c r="E43" s="209">
        <f>'Haver Pivoted'!GP66</f>
        <v>56.009</v>
      </c>
      <c r="F43" s="209">
        <f>'Haver Pivoted'!GQ66</f>
        <v>54.273000000000003</v>
      </c>
      <c r="G43" s="209">
        <f>'Haver Pivoted'!GR66</f>
        <v>54.103999999999999</v>
      </c>
      <c r="H43" s="209">
        <f>'Haver Pivoted'!GS66</f>
        <v>54.46</v>
      </c>
      <c r="I43" s="209">
        <f>'Haver Pivoted'!GT66</f>
        <v>59.734999999999999</v>
      </c>
      <c r="J43" s="209">
        <f>'Haver Pivoted'!GU66</f>
        <v>100.11799999999999</v>
      </c>
      <c r="K43" s="209">
        <f>'Haver Pivoted'!GV66</f>
        <v>104.89</v>
      </c>
      <c r="L43" s="209">
        <f>'Haver Pivoted'!GW66</f>
        <v>114.726</v>
      </c>
      <c r="M43" s="209">
        <f>'Haver Pivoted'!GX66</f>
        <v>140.75399999999999</v>
      </c>
      <c r="N43" s="209">
        <f>'Haver Pivoted'!GY66</f>
        <v>155.40299999999999</v>
      </c>
      <c r="O43" s="209">
        <f>'Haver Pivoted'!GZ66</f>
        <v>150.172</v>
      </c>
      <c r="P43" s="209">
        <f>'Haver Pivoted'!HA66</f>
        <v>155.43700000000001</v>
      </c>
      <c r="Q43" s="209">
        <f>'Haver Pivoted'!HB66</f>
        <v>135.35499999999999</v>
      </c>
      <c r="R43" s="209">
        <f>'Haver Pivoted'!HC66</f>
        <v>118.414</v>
      </c>
      <c r="S43" s="176">
        <f>'Haver Pivoted'!HD66</f>
        <v>111.59099999999999</v>
      </c>
      <c r="T43" s="159">
        <f>'Haver Pivoted'!HE66</f>
        <v>126.22</v>
      </c>
      <c r="U43" s="280"/>
      <c r="V43" s="280"/>
      <c r="W43" s="280"/>
      <c r="X43" s="280"/>
      <c r="Y43" s="280"/>
      <c r="Z43" s="280"/>
      <c r="AA43" s="280"/>
      <c r="AB43" s="280"/>
      <c r="AC43" s="278"/>
    </row>
    <row r="44" spans="2:29" ht="29.1" customHeight="1" x14ac:dyDescent="0.3">
      <c r="B44" s="263" t="s">
        <v>530</v>
      </c>
      <c r="C44" s="264"/>
      <c r="D44" s="639"/>
      <c r="E44" s="537"/>
      <c r="F44" s="537"/>
      <c r="G44" s="537"/>
      <c r="H44" s="537"/>
      <c r="I44" s="537"/>
      <c r="J44" s="537">
        <f t="shared" ref="J44:T44" si="24">J43-$H43</f>
        <v>45.657999999999994</v>
      </c>
      <c r="K44" s="537">
        <f t="shared" si="24"/>
        <v>50.43</v>
      </c>
      <c r="L44" s="537">
        <f t="shared" si="24"/>
        <v>60.265999999999998</v>
      </c>
      <c r="M44" s="537">
        <f t="shared" si="24"/>
        <v>86.293999999999983</v>
      </c>
      <c r="N44" s="537">
        <f>N43-$H43</f>
        <v>100.94299999999998</v>
      </c>
      <c r="O44" s="537">
        <f>O43-$H43</f>
        <v>95.711999999999989</v>
      </c>
      <c r="P44" s="537">
        <f t="shared" si="24"/>
        <v>100.977</v>
      </c>
      <c r="Q44" s="537">
        <f t="shared" si="24"/>
        <v>80.894999999999982</v>
      </c>
      <c r="R44" s="537">
        <f t="shared" si="24"/>
        <v>63.954000000000001</v>
      </c>
      <c r="S44" s="623">
        <f t="shared" si="24"/>
        <v>57.130999999999993</v>
      </c>
      <c r="T44" s="621">
        <f t="shared" si="24"/>
        <v>71.759999999999991</v>
      </c>
      <c r="U44" s="247"/>
      <c r="V44" s="247"/>
      <c r="W44" s="247"/>
      <c r="X44" s="247"/>
      <c r="Y44" s="247"/>
      <c r="Z44" s="247"/>
      <c r="AA44" s="247"/>
      <c r="AB44" s="247"/>
      <c r="AC44" s="248"/>
    </row>
    <row r="45" spans="2:29" ht="29.1" customHeight="1" x14ac:dyDescent="0.3">
      <c r="B45" s="213"/>
      <c r="C45" s="213"/>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2:29" ht="29.1" customHeight="1" x14ac:dyDescent="0.3">
      <c r="B46" s="213"/>
      <c r="C46" s="213"/>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2:29" ht="29.1" customHeight="1" x14ac:dyDescent="0.3">
      <c r="B47" s="213"/>
      <c r="C47" s="213"/>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row>
    <row r="48" spans="2:29" ht="35.85" customHeight="1" x14ac:dyDescent="0.3"/>
    <row r="49" spans="2:29" x14ac:dyDescent="0.3">
      <c r="B49" s="491" t="s">
        <v>412</v>
      </c>
    </row>
    <row r="50" spans="2:29" x14ac:dyDescent="0.3">
      <c r="B50" s="1372" t="s">
        <v>858</v>
      </c>
      <c r="C50" s="1373"/>
      <c r="D50" s="1290" t="s">
        <v>325</v>
      </c>
      <c r="E50" s="1291"/>
      <c r="F50" s="1291"/>
      <c r="G50" s="1291"/>
      <c r="H50" s="1291"/>
      <c r="I50" s="1291"/>
      <c r="J50" s="1291"/>
      <c r="K50" s="1291"/>
      <c r="L50" s="1291"/>
      <c r="M50" s="1291"/>
      <c r="N50" s="1291"/>
      <c r="O50" s="1291"/>
      <c r="P50" s="1291"/>
      <c r="Q50" s="1316"/>
      <c r="R50" s="1316"/>
      <c r="S50" s="1316"/>
      <c r="T50" s="1281"/>
      <c r="U50" s="1294" t="s">
        <v>326</v>
      </c>
      <c r="V50" s="1294"/>
      <c r="W50" s="1294"/>
      <c r="X50" s="1294"/>
      <c r="Y50" s="1294"/>
      <c r="Z50" s="1294"/>
      <c r="AA50" s="1294"/>
      <c r="AB50" s="1294"/>
      <c r="AC50" s="1295"/>
    </row>
    <row r="51" spans="2:29" x14ac:dyDescent="0.3">
      <c r="B51" s="1374"/>
      <c r="C51" s="1375"/>
      <c r="D51" s="157">
        <v>2018</v>
      </c>
      <c r="E51" s="1273">
        <v>2019</v>
      </c>
      <c r="F51" s="1278"/>
      <c r="G51" s="1278"/>
      <c r="H51" s="1279"/>
      <c r="I51" s="1273">
        <v>2020</v>
      </c>
      <c r="J51" s="1278"/>
      <c r="K51" s="1278"/>
      <c r="L51" s="1278"/>
      <c r="M51" s="1273">
        <v>2021</v>
      </c>
      <c r="N51" s="1278"/>
      <c r="O51" s="1278"/>
      <c r="P51" s="1278"/>
      <c r="Q51" s="1273">
        <v>2022</v>
      </c>
      <c r="R51" s="1274"/>
      <c r="S51" s="1274"/>
      <c r="T51" s="1279"/>
      <c r="U51" s="1284">
        <v>2023</v>
      </c>
      <c r="V51" s="1285"/>
      <c r="W51" s="1285"/>
      <c r="X51" s="1285"/>
      <c r="Y51" s="1287">
        <v>2024</v>
      </c>
      <c r="Z51" s="1285"/>
      <c r="AA51" s="1285"/>
      <c r="AB51" s="1286"/>
      <c r="AC51" s="233">
        <v>2025</v>
      </c>
    </row>
    <row r="52" spans="2:29" x14ac:dyDescent="0.3">
      <c r="B52" s="1374"/>
      <c r="C52" s="1375"/>
      <c r="D52" s="163" t="s">
        <v>327</v>
      </c>
      <c r="E52" s="163" t="s">
        <v>328</v>
      </c>
      <c r="F52" s="176" t="s">
        <v>329</v>
      </c>
      <c r="G52" s="176" t="s">
        <v>238</v>
      </c>
      <c r="H52" s="159" t="s">
        <v>327</v>
      </c>
      <c r="I52" s="176" t="s">
        <v>328</v>
      </c>
      <c r="J52" s="176" t="s">
        <v>329</v>
      </c>
      <c r="K52" s="176" t="s">
        <v>238</v>
      </c>
      <c r="L52" s="176" t="s">
        <v>327</v>
      </c>
      <c r="M52" s="163" t="s">
        <v>328</v>
      </c>
      <c r="N52" s="176" t="s">
        <v>329</v>
      </c>
      <c r="O52" s="176" t="s">
        <v>238</v>
      </c>
      <c r="P52" s="176" t="s">
        <v>327</v>
      </c>
      <c r="Q52" s="163" t="s">
        <v>328</v>
      </c>
      <c r="R52" s="176" t="s">
        <v>329</v>
      </c>
      <c r="S52" s="176" t="s">
        <v>238</v>
      </c>
      <c r="T52" s="159" t="s">
        <v>327</v>
      </c>
      <c r="U52" s="280" t="s">
        <v>328</v>
      </c>
      <c r="V52" s="280" t="s">
        <v>329</v>
      </c>
      <c r="W52" s="280" t="s">
        <v>238</v>
      </c>
      <c r="X52" s="280" t="s">
        <v>327</v>
      </c>
      <c r="Y52" s="348" t="s">
        <v>328</v>
      </c>
      <c r="Z52" s="228" t="s">
        <v>329</v>
      </c>
      <c r="AA52" s="280" t="s">
        <v>238</v>
      </c>
      <c r="AB52" s="278" t="s">
        <v>327</v>
      </c>
      <c r="AC52" s="373" t="s">
        <v>328</v>
      </c>
    </row>
    <row r="53" spans="2:29" ht="29.4" customHeight="1" x14ac:dyDescent="0.3">
      <c r="B53" s="566" t="s">
        <v>516</v>
      </c>
      <c r="C53" s="460" t="s">
        <v>517</v>
      </c>
      <c r="D53" s="548">
        <f>'Haver Pivoted'!GO31</f>
        <v>2224.3000000000002</v>
      </c>
      <c r="E53" s="549">
        <f>'Haver Pivoted'!GP31</f>
        <v>2303.4</v>
      </c>
      <c r="F53" s="549">
        <f>'Haver Pivoted'!GQ31</f>
        <v>2319.4</v>
      </c>
      <c r="G53" s="549">
        <f>'Haver Pivoted'!GR31</f>
        <v>2333.8000000000002</v>
      </c>
      <c r="H53" s="549">
        <f>'Haver Pivoted'!GS31</f>
        <v>2346.4</v>
      </c>
      <c r="I53" s="549">
        <f>'Haver Pivoted'!GT31</f>
        <v>2407.5</v>
      </c>
      <c r="J53" s="549">
        <f>'Haver Pivoted'!GU31</f>
        <v>4698.7</v>
      </c>
      <c r="K53" s="549">
        <f>'Haver Pivoted'!GV31</f>
        <v>3492.4</v>
      </c>
      <c r="L53" s="549">
        <f>'Haver Pivoted'!GW31</f>
        <v>2881.6</v>
      </c>
      <c r="M53" s="549">
        <f>'Haver Pivoted'!GX31</f>
        <v>5094.8</v>
      </c>
      <c r="N53" s="549">
        <f>'Haver Pivoted'!GY31</f>
        <v>3395.6</v>
      </c>
      <c r="O53" s="549">
        <f>'Haver Pivoted'!GZ31</f>
        <v>3146.3</v>
      </c>
      <c r="P53" s="549">
        <f>'Haver Pivoted'!HA31</f>
        <v>2937.4</v>
      </c>
      <c r="Q53" s="549">
        <f>'Haver Pivoted'!HB31</f>
        <v>2863</v>
      </c>
      <c r="R53" s="549">
        <f>'Haver Pivoted'!HC31</f>
        <v>2846.5</v>
      </c>
      <c r="S53" s="550">
        <f>'Haver Pivoted'!HD31</f>
        <v>2840.1</v>
      </c>
      <c r="T53" s="551">
        <f>'Haver Pivoted'!HE31</f>
        <v>2882.9</v>
      </c>
      <c r="U53" s="667"/>
      <c r="V53" s="667"/>
      <c r="W53" s="667"/>
      <c r="X53" s="667"/>
      <c r="Y53" s="667"/>
      <c r="Z53" s="667"/>
      <c r="AA53" s="667"/>
      <c r="AB53" s="667"/>
      <c r="AC53" s="620"/>
    </row>
    <row r="54" spans="2:29" ht="29.4" customHeight="1" x14ac:dyDescent="0.3">
      <c r="B54" s="450" t="s">
        <v>854</v>
      </c>
      <c r="C54" s="213"/>
      <c r="D54" s="640">
        <f t="shared" ref="D54:T54" si="25">SUM(D14:D22)</f>
        <v>813.09999999999991</v>
      </c>
      <c r="E54" s="245">
        <f t="shared" si="25"/>
        <v>832</v>
      </c>
      <c r="F54" s="245">
        <f t="shared" si="25"/>
        <v>842.69999999999993</v>
      </c>
      <c r="G54" s="245">
        <f t="shared" si="25"/>
        <v>850.1</v>
      </c>
      <c r="H54" s="245">
        <f t="shared" si="25"/>
        <v>854</v>
      </c>
      <c r="I54" s="245">
        <f t="shared" si="25"/>
        <v>871.02350000000001</v>
      </c>
      <c r="J54" s="245">
        <f t="shared" si="25"/>
        <v>3187.1064999999999</v>
      </c>
      <c r="K54" s="245">
        <f t="shared" si="25"/>
        <v>1850.5785000000001</v>
      </c>
      <c r="L54" s="245">
        <f t="shared" si="25"/>
        <v>1300.1145000000001</v>
      </c>
      <c r="M54" s="245">
        <f t="shared" si="25"/>
        <v>3501.0425</v>
      </c>
      <c r="N54" s="245">
        <f t="shared" si="25"/>
        <v>1824.9133399999998</v>
      </c>
      <c r="O54" s="245">
        <f t="shared" si="25"/>
        <v>1573.4639933333328</v>
      </c>
      <c r="P54" s="245">
        <f t="shared" si="25"/>
        <v>1378.1348333333328</v>
      </c>
      <c r="Q54" s="245">
        <f t="shared" si="25"/>
        <v>1205.9195</v>
      </c>
      <c r="R54" s="245">
        <f t="shared" si="25"/>
        <v>1180.8785</v>
      </c>
      <c r="S54" s="658">
        <f t="shared" si="25"/>
        <v>1170.5554999999999</v>
      </c>
      <c r="T54" s="662">
        <f t="shared" si="25"/>
        <v>1164.1244999999999</v>
      </c>
      <c r="U54" s="666"/>
      <c r="V54" s="666"/>
      <c r="W54" s="666"/>
      <c r="X54" s="666"/>
      <c r="Y54" s="666"/>
      <c r="Z54" s="666"/>
      <c r="AA54" s="666"/>
      <c r="AB54" s="666"/>
      <c r="AC54" s="687"/>
    </row>
    <row r="55" spans="2:29" ht="29.4" customHeight="1" x14ac:dyDescent="0.3">
      <c r="B55" s="450" t="s">
        <v>855</v>
      </c>
      <c r="C55" s="213"/>
      <c r="D55" s="640">
        <f>D53-D54</f>
        <v>1411.2000000000003</v>
      </c>
      <c r="E55" s="245">
        <f t="shared" ref="E55:O55" si="26">E53-E54</f>
        <v>1471.4</v>
      </c>
      <c r="F55" s="245">
        <f t="shared" si="26"/>
        <v>1476.7000000000003</v>
      </c>
      <c r="G55" s="245">
        <f t="shared" si="26"/>
        <v>1483.7000000000003</v>
      </c>
      <c r="H55" s="245">
        <f t="shared" si="26"/>
        <v>1492.4</v>
      </c>
      <c r="I55" s="245">
        <f t="shared" si="26"/>
        <v>1536.4765</v>
      </c>
      <c r="J55" s="245">
        <f t="shared" si="26"/>
        <v>1511.5934999999999</v>
      </c>
      <c r="K55" s="245">
        <f t="shared" si="26"/>
        <v>1641.8215</v>
      </c>
      <c r="L55" s="245">
        <f t="shared" si="26"/>
        <v>1581.4854999999998</v>
      </c>
      <c r="M55" s="245">
        <f t="shared" si="26"/>
        <v>1593.7575000000002</v>
      </c>
      <c r="N55" s="245">
        <f t="shared" si="26"/>
        <v>1570.6866600000001</v>
      </c>
      <c r="O55" s="245">
        <f t="shared" si="26"/>
        <v>1572.8360066666673</v>
      </c>
      <c r="P55" s="245">
        <f>P53-P54</f>
        <v>1559.2651666666673</v>
      </c>
      <c r="Q55" s="245">
        <f>Q53-Q54</f>
        <v>1657.0805</v>
      </c>
      <c r="R55" s="245">
        <f>R53-R54</f>
        <v>1665.6215</v>
      </c>
      <c r="S55" s="658">
        <f>S53-S54</f>
        <v>1669.5445</v>
      </c>
      <c r="T55" s="662">
        <f>T53-T54</f>
        <v>1718.7755000000002</v>
      </c>
      <c r="U55" s="666"/>
      <c r="V55" s="666"/>
      <c r="W55" s="666"/>
      <c r="X55" s="666"/>
      <c r="Y55" s="666"/>
      <c r="Z55" s="666"/>
      <c r="AA55" s="666"/>
      <c r="AB55" s="666"/>
      <c r="AC55" s="687"/>
    </row>
    <row r="56" spans="2:29" ht="29.4" customHeight="1" x14ac:dyDescent="0.3">
      <c r="B56" s="544" t="s">
        <v>856</v>
      </c>
      <c r="C56" s="213"/>
      <c r="D56" s="640">
        <f t="shared" ref="D56:I56" si="27">D12-D14-D15-D21</f>
        <v>1411.2</v>
      </c>
      <c r="E56" s="245">
        <f t="shared" si="27"/>
        <v>1471.4</v>
      </c>
      <c r="F56" s="245">
        <f t="shared" si="27"/>
        <v>1476.7</v>
      </c>
      <c r="G56" s="245">
        <f t="shared" si="27"/>
        <v>1483.7</v>
      </c>
      <c r="H56" s="245">
        <f t="shared" si="27"/>
        <v>1492.4000000000003</v>
      </c>
      <c r="I56" s="245">
        <f t="shared" si="27"/>
        <v>1541.5000000000002</v>
      </c>
      <c r="J56" s="659">
        <f>I56+($H$56-$E$56)/3</f>
        <v>1548.5000000000002</v>
      </c>
      <c r="K56" s="659">
        <f>J56+($H$56-$E$56)/3</f>
        <v>1555.5000000000002</v>
      </c>
      <c r="L56" s="659">
        <f>K56+($H$56-$E$56)/3</f>
        <v>1562.5000000000002</v>
      </c>
      <c r="M56" s="660">
        <f>L56+($H$56-$E$56)/3 +(M60-L60)</f>
        <v>1586.9430000000002</v>
      </c>
      <c r="N56" s="659">
        <f>M56+($H$56-$E$56)/3</f>
        <v>1593.9430000000002</v>
      </c>
      <c r="O56" s="659">
        <f>N56+($H$56-$E$56)/3</f>
        <v>1600.9430000000002</v>
      </c>
      <c r="P56" s="659">
        <f>O56+($H$56-$E$56)/3</f>
        <v>1607.9430000000002</v>
      </c>
      <c r="Q56" s="660">
        <f>P56+($H$56-$E$56)/3 + 0.06*Q60</f>
        <v>1686.8657200000002</v>
      </c>
      <c r="R56" s="659">
        <f>Q56+($H$56-$E$56)/3</f>
        <v>1693.8657200000002</v>
      </c>
      <c r="S56" s="659">
        <f>R56+($H$56-$E$56)/3</f>
        <v>1700.8657200000002</v>
      </c>
      <c r="T56" s="688">
        <f>S56+($H$56-$E$56)/3</f>
        <v>1707.8657200000002</v>
      </c>
      <c r="U56" s="422">
        <f>T56+U57</f>
        <v>1821.5289380000004</v>
      </c>
      <c r="V56" s="422">
        <f>U56+V57</f>
        <v>1828.5289380000004</v>
      </c>
      <c r="W56" s="422">
        <f>V56+W57</f>
        <v>1835.5289380000004</v>
      </c>
      <c r="X56" s="422">
        <f>W56+X57</f>
        <v>1842.5289380000004</v>
      </c>
      <c r="Y56" s="422">
        <f>X56+Y57</f>
        <v>1891.9374640362005</v>
      </c>
      <c r="Z56" s="422">
        <f>Y56+Z57</f>
        <v>1898.9374640362005</v>
      </c>
      <c r="AA56" s="422">
        <f>Z56+AA57</f>
        <v>1905.9374640362005</v>
      </c>
      <c r="AB56" s="422">
        <f>AA56+AB57</f>
        <v>1912.9374640362005</v>
      </c>
      <c r="AC56" s="422">
        <f>AB56+AC57</f>
        <v>1949.4248617408166</v>
      </c>
    </row>
    <row r="57" spans="2:29" s="1447" customFormat="1" ht="29.4" customHeight="1" x14ac:dyDescent="0.3">
      <c r="B57" s="388" t="s">
        <v>2286</v>
      </c>
      <c r="C57" s="213"/>
      <c r="D57" s="640"/>
      <c r="E57" s="245"/>
      <c r="F57" s="245"/>
      <c r="G57" s="245"/>
      <c r="H57" s="245"/>
      <c r="I57" s="245"/>
      <c r="J57" s="659"/>
      <c r="K57" s="659"/>
      <c r="L57" s="659"/>
      <c r="M57" s="660"/>
      <c r="N57" s="659"/>
      <c r="O57" s="659"/>
      <c r="P57" s="659"/>
      <c r="Q57" s="660"/>
      <c r="R57" s="659"/>
      <c r="S57" s="659"/>
      <c r="T57" s="688"/>
      <c r="U57" s="678">
        <f>U58+U59</f>
        <v>113.66321800000006</v>
      </c>
      <c r="V57" s="678">
        <f>V58+V63*V60</f>
        <v>7.0000000000000755</v>
      </c>
      <c r="W57" s="678">
        <f>W58+W63*W60</f>
        <v>7.0000000000000755</v>
      </c>
      <c r="X57" s="678">
        <f>X58+X63*X60</f>
        <v>7.0000000000000755</v>
      </c>
      <c r="Y57" s="678">
        <f>Y58+Y63*Y60</f>
        <v>49.408526036200065</v>
      </c>
      <c r="Z57" s="678">
        <f>Z58+Z63*Z60</f>
        <v>7.0000000000000755</v>
      </c>
      <c r="AA57" s="678">
        <f>AA58+AA63*AA60</f>
        <v>7.0000000000000755</v>
      </c>
      <c r="AB57" s="678">
        <f>AB58+AB63*AB60</f>
        <v>7.0000000000000755</v>
      </c>
      <c r="AC57" s="678">
        <f>AC58+AC63*AC60</f>
        <v>36.487397704616072</v>
      </c>
    </row>
    <row r="58" spans="2:29" s="1447" customFormat="1" ht="29.4" customHeight="1" x14ac:dyDescent="0.3">
      <c r="B58" s="374" t="s">
        <v>2283</v>
      </c>
      <c r="C58" s="213"/>
      <c r="D58" s="640"/>
      <c r="E58" s="245"/>
      <c r="F58" s="245"/>
      <c r="G58" s="245"/>
      <c r="H58" s="245"/>
      <c r="I58" s="245"/>
      <c r="J58" s="659"/>
      <c r="K58" s="659"/>
      <c r="L58" s="659"/>
      <c r="M58" s="660"/>
      <c r="N58" s="659"/>
      <c r="O58" s="659"/>
      <c r="P58" s="659"/>
      <c r="Q58" s="660"/>
      <c r="R58" s="659"/>
      <c r="S58" s="659"/>
      <c r="T58" s="688"/>
      <c r="U58" s="678">
        <f>($H$56-$E$56)/3</f>
        <v>7.0000000000000755</v>
      </c>
      <c r="V58" s="678">
        <f>U58</f>
        <v>7.0000000000000755</v>
      </c>
      <c r="W58" s="678">
        <f t="shared" ref="W58:AC58" si="28">V58</f>
        <v>7.0000000000000755</v>
      </c>
      <c r="X58" s="678">
        <f t="shared" si="28"/>
        <v>7.0000000000000755</v>
      </c>
      <c r="Y58" s="678">
        <f t="shared" si="28"/>
        <v>7.0000000000000755</v>
      </c>
      <c r="Z58" s="678">
        <f t="shared" si="28"/>
        <v>7.0000000000000755</v>
      </c>
      <c r="AA58" s="678">
        <f t="shared" si="28"/>
        <v>7.0000000000000755</v>
      </c>
      <c r="AB58" s="678">
        <f t="shared" si="28"/>
        <v>7.0000000000000755</v>
      </c>
      <c r="AC58" s="678">
        <f t="shared" si="28"/>
        <v>7.0000000000000755</v>
      </c>
    </row>
    <row r="59" spans="2:29" s="1447" customFormat="1" ht="29.4" customHeight="1" x14ac:dyDescent="0.3">
      <c r="B59" s="374" t="s">
        <v>2284</v>
      </c>
      <c r="C59" s="213"/>
      <c r="D59" s="640"/>
      <c r="E59" s="245"/>
      <c r="F59" s="245"/>
      <c r="G59" s="245"/>
      <c r="H59" s="245"/>
      <c r="I59" s="245"/>
      <c r="J59" s="659"/>
      <c r="K59" s="659"/>
      <c r="L59" s="659"/>
      <c r="M59" s="660"/>
      <c r="N59" s="659"/>
      <c r="O59" s="659"/>
      <c r="P59" s="659"/>
      <c r="Q59" s="660"/>
      <c r="R59" s="659"/>
      <c r="S59" s="659"/>
      <c r="T59" s="688"/>
      <c r="U59" s="678">
        <f>U63*T60</f>
        <v>106.66321799999999</v>
      </c>
      <c r="V59" s="678">
        <f t="shared" ref="V59:AC59" si="29">V63*U60</f>
        <v>0</v>
      </c>
      <c r="W59" s="678">
        <f t="shared" si="29"/>
        <v>0</v>
      </c>
      <c r="X59" s="678">
        <f t="shared" si="29"/>
        <v>0</v>
      </c>
      <c r="Y59" s="678">
        <f t="shared" si="29"/>
        <v>40.940316539999991</v>
      </c>
      <c r="Z59" s="678">
        <f t="shared" si="29"/>
        <v>0</v>
      </c>
      <c r="AA59" s="678">
        <f t="shared" si="29"/>
        <v>0</v>
      </c>
      <c r="AB59" s="678">
        <f t="shared" si="29"/>
        <v>0</v>
      </c>
      <c r="AC59" s="678">
        <f t="shared" si="29"/>
        <v>28.752350690799997</v>
      </c>
    </row>
    <row r="60" spans="2:29" ht="29.4" customHeight="1" x14ac:dyDescent="0.3">
      <c r="B60" s="544" t="s">
        <v>525</v>
      </c>
      <c r="C60" s="213" t="s">
        <v>526</v>
      </c>
      <c r="D60" s="544">
        <f>'Haver Pivoted'!GO88/1000</f>
        <v>983.88599999999997</v>
      </c>
      <c r="E60" s="213">
        <f>'Haver Pivoted'!GP88/1000</f>
        <v>1019.2089999999999</v>
      </c>
      <c r="F60" s="213">
        <f>'Haver Pivoted'!GQ88/1000</f>
        <v>1026.6220000000001</v>
      </c>
      <c r="G60" s="213">
        <f>'Haver Pivoted'!GR88/1000</f>
        <v>1034.357</v>
      </c>
      <c r="H60" s="213">
        <f>'Haver Pivoted'!GS88/1000</f>
        <v>1042.7819999999999</v>
      </c>
      <c r="I60" s="213">
        <f>'Haver Pivoted'!GT88/1000</f>
        <v>1068.2280000000001</v>
      </c>
      <c r="J60" s="213">
        <f>'Haver Pivoted'!GU88/1000</f>
        <v>1074.912</v>
      </c>
      <c r="K60" s="213">
        <f>'Haver Pivoted'!GV88/1000</f>
        <v>1080.3399999999999</v>
      </c>
      <c r="L60" s="213">
        <f>'Haver Pivoted'!GW88/1000</f>
        <v>1088.2329999999999</v>
      </c>
      <c r="M60" s="213">
        <f>'Haver Pivoted'!GX88/1000</f>
        <v>1105.6759999999999</v>
      </c>
      <c r="N60" s="213">
        <f>'Haver Pivoted'!GY88/1000</f>
        <v>1109.3710000000001</v>
      </c>
      <c r="O60" s="213">
        <f>'Haver Pivoted'!GZ88/1000</f>
        <v>1116.8150000000001</v>
      </c>
      <c r="P60" s="213">
        <f>'Haver Pivoted'!HA88/1000</f>
        <v>1126.539</v>
      </c>
      <c r="Q60" s="213">
        <f>'Haver Pivoted'!HB88/1000</f>
        <v>1198.712</v>
      </c>
      <c r="R60" s="213">
        <f>'Haver Pivoted'!HC88/1000</f>
        <v>1206.8920000000001</v>
      </c>
      <c r="S60" s="650">
        <f>'Haver Pivoted'!HD88/1000</f>
        <v>1214.6369999999999</v>
      </c>
      <c r="T60" s="663">
        <f>'Haver Pivoted'!HE88/1000</f>
        <v>1226.0139999999999</v>
      </c>
      <c r="U60" s="422">
        <f>T60+U61</f>
        <v>1340.6772179999998</v>
      </c>
      <c r="V60" s="422">
        <f>U60+V61</f>
        <v>1348.6772179999998</v>
      </c>
      <c r="W60" s="422">
        <f>V60+W61</f>
        <v>1356.6772179999998</v>
      </c>
      <c r="X60" s="422">
        <f>W60+X61</f>
        <v>1364.6772179999998</v>
      </c>
      <c r="Y60" s="422">
        <f>X60+Y61</f>
        <v>1413.6175345399997</v>
      </c>
      <c r="Z60" s="422">
        <f>Y60+Z61</f>
        <v>1421.6175345399997</v>
      </c>
      <c r="AA60" s="422">
        <f>Z60+AA61</f>
        <v>1429.6175345399997</v>
      </c>
      <c r="AB60" s="422">
        <f>AA60+AB61</f>
        <v>1437.6175345399997</v>
      </c>
      <c r="AC60" s="422">
        <f>AB60+AC61</f>
        <v>1474.3698852307998</v>
      </c>
    </row>
    <row r="61" spans="2:29" s="1447" customFormat="1" ht="29.4" customHeight="1" x14ac:dyDescent="0.3">
      <c r="B61" s="388" t="s">
        <v>2285</v>
      </c>
      <c r="C61" s="213"/>
      <c r="D61" s="544"/>
      <c r="E61" s="213"/>
      <c r="F61" s="213"/>
      <c r="G61" s="213"/>
      <c r="H61" s="213"/>
      <c r="I61" s="213"/>
      <c r="J61" s="213"/>
      <c r="K61" s="213"/>
      <c r="L61" s="213"/>
      <c r="M61" s="213"/>
      <c r="N61" s="213"/>
      <c r="O61" s="213"/>
      <c r="P61" s="213"/>
      <c r="Q61" s="213"/>
      <c r="R61" s="213"/>
      <c r="S61" s="650"/>
      <c r="T61" s="663"/>
      <c r="U61" s="422">
        <f>U59+U62</f>
        <v>114.66321799999999</v>
      </c>
      <c r="V61" s="422">
        <f t="shared" ref="V61:AC61" si="30">V59+V62</f>
        <v>8</v>
      </c>
      <c r="W61" s="422">
        <f t="shared" si="30"/>
        <v>8</v>
      </c>
      <c r="X61" s="422">
        <f t="shared" si="30"/>
        <v>8</v>
      </c>
      <c r="Y61" s="422">
        <f t="shared" si="30"/>
        <v>48.940316539999991</v>
      </c>
      <c r="Z61" s="422">
        <f t="shared" si="30"/>
        <v>8</v>
      </c>
      <c r="AA61" s="422">
        <f t="shared" si="30"/>
        <v>8</v>
      </c>
      <c r="AB61" s="422">
        <f t="shared" si="30"/>
        <v>8</v>
      </c>
      <c r="AC61" s="422">
        <f t="shared" si="30"/>
        <v>36.7523506908</v>
      </c>
    </row>
    <row r="62" spans="2:29" s="1447" customFormat="1" ht="29.4" customHeight="1" x14ac:dyDescent="0.3">
      <c r="B62" s="374" t="s">
        <v>2288</v>
      </c>
      <c r="C62" s="213"/>
      <c r="D62" s="544"/>
      <c r="E62" s="213"/>
      <c r="F62" s="213"/>
      <c r="G62" s="213"/>
      <c r="H62" s="213"/>
      <c r="I62" s="213"/>
      <c r="J62" s="213"/>
      <c r="K62" s="213"/>
      <c r="L62" s="213"/>
      <c r="M62" s="213"/>
      <c r="N62" s="213"/>
      <c r="O62" s="213"/>
      <c r="P62" s="213"/>
      <c r="Q62" s="213"/>
      <c r="R62" s="213"/>
      <c r="S62" s="650"/>
      <c r="T62" s="663"/>
      <c r="U62" s="678">
        <v>8</v>
      </c>
      <c r="V62" s="678">
        <v>8</v>
      </c>
      <c r="W62" s="678">
        <v>8</v>
      </c>
      <c r="X62" s="678">
        <v>8</v>
      </c>
      <c r="Y62" s="678">
        <v>8</v>
      </c>
      <c r="Z62" s="678">
        <v>8</v>
      </c>
      <c r="AA62" s="678">
        <v>8</v>
      </c>
      <c r="AB62" s="678">
        <v>8</v>
      </c>
      <c r="AC62" s="678">
        <v>8</v>
      </c>
    </row>
    <row r="63" spans="2:29" s="1447" customFormat="1" ht="29.4" customHeight="1" x14ac:dyDescent="0.3">
      <c r="B63" s="374" t="s">
        <v>2289</v>
      </c>
      <c r="C63" s="213"/>
      <c r="D63" s="544"/>
      <c r="E63" s="213"/>
      <c r="F63" s="213"/>
      <c r="G63" s="213"/>
      <c r="H63" s="213"/>
      <c r="I63" s="213"/>
      <c r="J63" s="213"/>
      <c r="K63" s="213"/>
      <c r="L63" s="213"/>
      <c r="M63" s="213"/>
      <c r="N63" s="213"/>
      <c r="O63" s="213"/>
      <c r="P63" s="213"/>
      <c r="Q63" s="213"/>
      <c r="R63" s="213"/>
      <c r="S63" s="650"/>
      <c r="T63" s="663"/>
      <c r="U63" s="1504">
        <v>8.6999999999999994E-2</v>
      </c>
      <c r="V63" s="1504">
        <v>0</v>
      </c>
      <c r="W63" s="1504">
        <v>0</v>
      </c>
      <c r="X63" s="1504">
        <v>0</v>
      </c>
      <c r="Y63" s="1504">
        <v>0.03</v>
      </c>
      <c r="Z63" s="1504">
        <v>0</v>
      </c>
      <c r="AA63" s="1504">
        <v>0</v>
      </c>
      <c r="AB63" s="1504">
        <v>0</v>
      </c>
      <c r="AC63" s="1505">
        <v>0.02</v>
      </c>
    </row>
    <row r="64" spans="2:29" ht="29.4" customHeight="1" x14ac:dyDescent="0.3">
      <c r="B64" s="494" t="s">
        <v>1514</v>
      </c>
      <c r="C64" s="264"/>
      <c r="D64" s="681">
        <f>D55-D56</f>
        <v>0</v>
      </c>
      <c r="E64" s="679">
        <f>E55-E56</f>
        <v>0</v>
      </c>
      <c r="F64" s="679">
        <f>F55-F56</f>
        <v>0</v>
      </c>
      <c r="G64" s="679">
        <f>G55-G56</f>
        <v>0</v>
      </c>
      <c r="H64" s="679">
        <f>H55-H56</f>
        <v>0</v>
      </c>
      <c r="I64" s="679">
        <f>I55-I56</f>
        <v>-5.0235000000002401</v>
      </c>
      <c r="J64" s="679">
        <f>J55-J56</f>
        <v>-36.906500000000278</v>
      </c>
      <c r="K64" s="679">
        <f>K55-K56</f>
        <v>86.321499999999787</v>
      </c>
      <c r="L64" s="679">
        <f>L55-L56</f>
        <v>18.985499999999547</v>
      </c>
      <c r="M64" s="679">
        <f>M55-M56</f>
        <v>6.8144999999999527</v>
      </c>
      <c r="N64" s="679">
        <f>N55-N56</f>
        <v>-23.256340000000137</v>
      </c>
      <c r="O64" s="679">
        <f>O55-O56</f>
        <v>-28.106993333332866</v>
      </c>
      <c r="P64" s="679">
        <f>P55-P56</f>
        <v>-48.677833333332956</v>
      </c>
      <c r="Q64" s="679">
        <f>Q55-Q56</f>
        <v>-29.785220000000209</v>
      </c>
      <c r="R64" s="679">
        <f>R55-R56</f>
        <v>-28.244220000000269</v>
      </c>
      <c r="S64" s="661">
        <f>S55-S56</f>
        <v>-31.321220000000267</v>
      </c>
      <c r="T64" s="638">
        <f>T55-T56</f>
        <v>10.909779999999955</v>
      </c>
      <c r="U64" s="680">
        <f t="shared" ref="U64:AC64" si="31">T64</f>
        <v>10.909779999999955</v>
      </c>
      <c r="V64" s="680">
        <f t="shared" si="31"/>
        <v>10.909779999999955</v>
      </c>
      <c r="W64" s="680">
        <f t="shared" si="31"/>
        <v>10.909779999999955</v>
      </c>
      <c r="X64" s="680">
        <f t="shared" si="31"/>
        <v>10.909779999999955</v>
      </c>
      <c r="Y64" s="680">
        <f t="shared" si="31"/>
        <v>10.909779999999955</v>
      </c>
      <c r="Z64" s="680">
        <f t="shared" si="31"/>
        <v>10.909779999999955</v>
      </c>
      <c r="AA64" s="680">
        <f t="shared" si="31"/>
        <v>10.909779999999955</v>
      </c>
      <c r="AB64" s="680">
        <f t="shared" si="31"/>
        <v>10.909779999999955</v>
      </c>
      <c r="AC64" s="680">
        <f t="shared" si="31"/>
        <v>10.909779999999955</v>
      </c>
    </row>
    <row r="65" spans="2:29" ht="69" customHeight="1" x14ac:dyDescent="0.3">
      <c r="B65" s="449"/>
      <c r="C65" s="213"/>
      <c r="D65" s="245"/>
      <c r="E65" s="245"/>
      <c r="F65" s="245"/>
      <c r="G65" s="245"/>
      <c r="H65" s="245"/>
      <c r="I65" s="245"/>
      <c r="J65" s="245"/>
      <c r="K65" s="245"/>
      <c r="L65" s="245"/>
      <c r="M65" s="245"/>
      <c r="N65" s="245"/>
      <c r="O65" s="245"/>
      <c r="P65" s="245"/>
      <c r="Q65" s="245"/>
      <c r="R65" s="245"/>
      <c r="S65" s="245"/>
      <c r="T65" s="245"/>
      <c r="U65" s="245"/>
      <c r="V65" s="245"/>
      <c r="W65" s="245"/>
      <c r="X65" s="245"/>
      <c r="Y65" s="245"/>
      <c r="Z65" s="245"/>
      <c r="AA65" s="245"/>
      <c r="AB65" s="245"/>
      <c r="AC65" s="245"/>
    </row>
    <row r="66" spans="2:29" s="1447" customFormat="1" ht="38.4" customHeight="1" x14ac:dyDescent="0.3">
      <c r="B66" s="1499"/>
      <c r="C66" s="1500">
        <v>2022</v>
      </c>
      <c r="D66" s="1501">
        <v>2023</v>
      </c>
      <c r="E66" s="1501">
        <v>2024</v>
      </c>
      <c r="F66" s="1502">
        <v>2025</v>
      </c>
      <c r="G66" s="245"/>
      <c r="H66" s="245"/>
      <c r="I66" s="245"/>
      <c r="J66" s="245"/>
      <c r="K66" s="245"/>
      <c r="L66" s="245"/>
      <c r="M66" s="245"/>
      <c r="N66" s="245"/>
      <c r="O66" s="245"/>
      <c r="P66" s="245"/>
      <c r="Q66" s="245"/>
      <c r="R66" s="245"/>
      <c r="S66" s="245"/>
      <c r="T66" s="245"/>
      <c r="U66" s="245"/>
      <c r="V66" s="245"/>
      <c r="W66" s="245"/>
      <c r="X66" s="245"/>
      <c r="Y66" s="245"/>
      <c r="Z66" s="245"/>
      <c r="AA66" s="245"/>
      <c r="AB66" s="245"/>
      <c r="AC66" s="245"/>
    </row>
    <row r="67" spans="2:29" ht="38.4" customHeight="1" x14ac:dyDescent="0.3">
      <c r="B67" s="494" t="s">
        <v>2282</v>
      </c>
      <c r="C67" s="1498">
        <v>1212.5500000000002</v>
      </c>
      <c r="D67" s="1498">
        <v>1335.8330000000001</v>
      </c>
      <c r="E67" s="1498">
        <v>1449.568</v>
      </c>
      <c r="F67" s="1503">
        <v>1546.5429999999999</v>
      </c>
      <c r="G67" s="245"/>
      <c r="H67" s="245"/>
      <c r="I67" s="245"/>
      <c r="J67" s="245"/>
      <c r="K67" s="245"/>
      <c r="L67" s="245"/>
      <c r="M67" s="245"/>
      <c r="N67" s="245"/>
      <c r="O67" s="245"/>
      <c r="P67" s="245"/>
      <c r="Q67" s="245"/>
      <c r="R67" s="245"/>
      <c r="S67" s="245"/>
      <c r="T67" s="245"/>
      <c r="U67" s="245"/>
      <c r="V67" s="245"/>
      <c r="W67" s="245"/>
      <c r="X67" s="245"/>
      <c r="Y67" s="245"/>
      <c r="Z67" s="245"/>
      <c r="AA67" s="245"/>
      <c r="AB67" s="245"/>
      <c r="AC67" s="245"/>
    </row>
    <row r="68" spans="2:29" ht="69" customHeight="1" x14ac:dyDescent="0.3">
      <c r="B68" s="449"/>
      <c r="C68" s="213"/>
      <c r="D68" s="245"/>
      <c r="E68" s="245"/>
      <c r="F68" s="245"/>
      <c r="G68" s="245"/>
      <c r="H68" s="245"/>
      <c r="I68" s="245"/>
      <c r="J68" s="245"/>
      <c r="K68" s="245"/>
      <c r="L68" s="245"/>
      <c r="M68" s="245"/>
      <c r="N68" s="245"/>
      <c r="O68" s="245"/>
      <c r="P68" s="245"/>
      <c r="Q68" s="245"/>
      <c r="R68" s="245"/>
      <c r="S68" s="245"/>
      <c r="T68" s="245"/>
      <c r="U68" s="245"/>
      <c r="V68" s="245"/>
      <c r="W68" s="245"/>
      <c r="X68" s="245"/>
      <c r="Y68" s="245"/>
      <c r="Z68" s="245"/>
      <c r="AA68" s="245"/>
      <c r="AB68" s="245"/>
      <c r="AC68" s="245"/>
    </row>
    <row r="69" spans="2:29" x14ac:dyDescent="0.3">
      <c r="B69" s="74" t="s">
        <v>1513</v>
      </c>
      <c r="D69" s="213"/>
      <c r="E69" s="213"/>
      <c r="F69" s="213"/>
      <c r="G69" s="213"/>
      <c r="H69" s="213"/>
      <c r="I69" s="213"/>
      <c r="J69" s="213"/>
      <c r="K69" s="213"/>
      <c r="L69" s="213"/>
      <c r="M69" s="245"/>
      <c r="N69" s="245"/>
      <c r="O69" s="245"/>
      <c r="P69" s="213"/>
    </row>
    <row r="70" spans="2:29" x14ac:dyDescent="0.3">
      <c r="B70" s="566" t="s">
        <v>862</v>
      </c>
      <c r="C70" s="673"/>
      <c r="D70" s="683">
        <v>2021</v>
      </c>
      <c r="E70" s="683">
        <v>2022</v>
      </c>
      <c r="F70" s="683">
        <v>2023</v>
      </c>
      <c r="G70" s="684">
        <v>2024</v>
      </c>
      <c r="R70" s="564"/>
    </row>
    <row r="71" spans="2:29" x14ac:dyDescent="0.3">
      <c r="B71" s="682" t="s">
        <v>863</v>
      </c>
      <c r="C71" s="691"/>
      <c r="D71" s="670">
        <v>3605.8330000000001</v>
      </c>
      <c r="E71" s="670">
        <v>2900</v>
      </c>
      <c r="F71" s="670">
        <f>E71*1.02</f>
        <v>2958</v>
      </c>
      <c r="G71" s="671">
        <f>F71*1.06</f>
        <v>3135.48</v>
      </c>
    </row>
    <row r="72" spans="2:29" x14ac:dyDescent="0.3">
      <c r="B72" s="682" t="s">
        <v>866</v>
      </c>
      <c r="C72" s="672"/>
      <c r="D72" s="645">
        <f>AVERAGE(Medicare!L10:O10)</f>
        <v>865</v>
      </c>
      <c r="E72" s="645">
        <f>AVERAGE(Medicare!P10:S10)</f>
        <v>910.02500000000009</v>
      </c>
      <c r="F72" s="645">
        <f>AVERAGE(Medicare!T10:W10)</f>
        <v>967.5423759338363</v>
      </c>
      <c r="G72" s="689">
        <f>AVERAGE(Medicare!X10:AA10)</f>
        <v>1055.1701282460017</v>
      </c>
    </row>
    <row r="73" spans="2:29" ht="13.35" customHeight="1" x14ac:dyDescent="0.3">
      <c r="B73" s="682" t="s">
        <v>864</v>
      </c>
      <c r="C73" s="672"/>
      <c r="D73" s="645">
        <f>D71-D72</f>
        <v>2740.8330000000001</v>
      </c>
      <c r="E73" s="645">
        <f t="shared" ref="E73:G73" si="32">E71-E72</f>
        <v>1989.9749999999999</v>
      </c>
      <c r="F73" s="645">
        <f t="shared" si="32"/>
        <v>1990.4576240661636</v>
      </c>
      <c r="G73" s="689">
        <f t="shared" si="32"/>
        <v>2080.3098717539983</v>
      </c>
    </row>
    <row r="74" spans="2:29" x14ac:dyDescent="0.3">
      <c r="B74" s="682" t="s">
        <v>867</v>
      </c>
      <c r="C74" s="672"/>
      <c r="D74" s="645">
        <f>AVERAGE(L12:O12)</f>
        <v>3629.5749999999998</v>
      </c>
      <c r="E74" s="645">
        <f>AVERAGE(P12:S12)</f>
        <v>2871.75</v>
      </c>
      <c r="F74" s="645">
        <f>AVERAGE(T12:W12)</f>
        <v>2938.1214706838359</v>
      </c>
      <c r="G74" s="689">
        <f>AVERAGE(X12:AA12)</f>
        <v>3086.9038991064854</v>
      </c>
    </row>
    <row r="75" spans="2:29" x14ac:dyDescent="0.3">
      <c r="B75" s="682" t="s">
        <v>866</v>
      </c>
      <c r="C75" s="672"/>
      <c r="D75" s="645">
        <f>AVERAGE(Medicare!L10:O10)</f>
        <v>865</v>
      </c>
      <c r="E75" s="645">
        <f>AVERAGE(Medicare!P10:S10)</f>
        <v>910.02500000000009</v>
      </c>
      <c r="F75" s="645">
        <f>AVERAGE(Medicare!T10:W10)</f>
        <v>967.5423759338363</v>
      </c>
      <c r="G75" s="689">
        <f>AVERAGE(Medicare!X10:AA10)</f>
        <v>1055.1701282460017</v>
      </c>
    </row>
    <row r="76" spans="2:29" x14ac:dyDescent="0.3">
      <c r="B76" s="682" t="s">
        <v>585</v>
      </c>
      <c r="C76" s="672"/>
      <c r="D76" s="645">
        <f>AVERAGE(L25:O25)</f>
        <v>1586.0822500000002</v>
      </c>
      <c r="E76" s="645">
        <f>AVERAGE(P25:S25)</f>
        <v>1672.3850400000001</v>
      </c>
      <c r="F76" s="645">
        <f>AVERAGE(T25:W25)</f>
        <v>1798.3631335000002</v>
      </c>
      <c r="G76" s="689">
        <f>AVERAGE(X25:AA25)</f>
        <v>1884.8353325271503</v>
      </c>
    </row>
    <row r="77" spans="2:29" ht="27.6" customHeight="1" x14ac:dyDescent="0.3">
      <c r="B77" s="674" t="s">
        <v>865</v>
      </c>
      <c r="C77" s="263"/>
      <c r="D77" s="607"/>
      <c r="E77" s="685">
        <v>1.157</v>
      </c>
      <c r="F77" s="685">
        <v>1.0109999999999999</v>
      </c>
      <c r="G77" s="690">
        <v>1.0529999999999999</v>
      </c>
    </row>
    <row r="78" spans="2:29" x14ac:dyDescent="0.3">
      <c r="B78" s="213" t="s">
        <v>868</v>
      </c>
      <c r="D78" s="686">
        <f>D74-D71</f>
        <v>23.741999999999734</v>
      </c>
      <c r="E78" s="686">
        <f>E74-E71</f>
        <v>-28.25</v>
      </c>
      <c r="F78" s="686">
        <f>F74-F71</f>
        <v>-19.878529316164077</v>
      </c>
      <c r="G78" s="686">
        <f t="shared" ref="G78" si="33">G74-G71</f>
        <v>-48.576100893514649</v>
      </c>
    </row>
    <row r="80" spans="2:29" x14ac:dyDescent="0.3">
      <c r="B80" t="s">
        <v>863</v>
      </c>
      <c r="D80">
        <v>3605.8330000000001</v>
      </c>
      <c r="E80">
        <v>2832.5949999999998</v>
      </c>
      <c r="F80">
        <v>2833.72</v>
      </c>
      <c r="G80">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BD169"/>
  <sheetViews>
    <sheetView tabSelected="1" topLeftCell="G23" zoomScale="89" zoomScaleNormal="89" workbookViewId="0">
      <selection activeCell="S39" sqref="S39"/>
    </sheetView>
  </sheetViews>
  <sheetFormatPr defaultColWidth="10.7773437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276" t="s">
        <v>58</v>
      </c>
      <c r="E1" s="1276"/>
      <c r="F1" s="1276"/>
      <c r="G1" s="1276"/>
      <c r="H1" s="1276"/>
      <c r="I1" s="1276"/>
      <c r="J1" s="1276"/>
      <c r="K1" s="1276"/>
      <c r="L1" s="1276"/>
      <c r="M1" s="1276"/>
      <c r="N1" s="1276"/>
      <c r="O1" s="1276"/>
      <c r="P1" s="1276"/>
      <c r="Q1" s="1276"/>
      <c r="R1" s="1276"/>
      <c r="S1" s="1276"/>
      <c r="T1" s="1276"/>
      <c r="U1" s="1276"/>
      <c r="V1" s="1276"/>
      <c r="W1" s="1276"/>
      <c r="X1" s="1276"/>
      <c r="Y1" s="1276"/>
      <c r="Z1" s="1276"/>
      <c r="AA1" s="1276"/>
      <c r="AB1" s="1276"/>
      <c r="AC1" s="1276"/>
    </row>
    <row r="2" spans="4:56" ht="14.25" customHeight="1" x14ac:dyDescent="0.3">
      <c r="D2" s="1314" t="s">
        <v>986</v>
      </c>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row>
    <row r="3" spans="4:56" ht="84.75" customHeight="1" x14ac:dyDescent="0.3">
      <c r="D3" s="1314"/>
      <c r="E3" s="1314"/>
      <c r="F3" s="1314"/>
      <c r="G3" s="1314"/>
      <c r="H3" s="1314"/>
      <c r="I3" s="1314"/>
      <c r="J3" s="1314"/>
      <c r="K3" s="1314"/>
      <c r="L3" s="1314"/>
      <c r="M3" s="1314"/>
      <c r="N3" s="1314"/>
      <c r="O3" s="1314"/>
      <c r="P3" s="1314"/>
      <c r="Q3" s="1314"/>
      <c r="R3" s="1314"/>
      <c r="S3" s="1314"/>
      <c r="T3" s="1314"/>
      <c r="U3" s="1314"/>
      <c r="V3" s="1314"/>
      <c r="W3" s="1314"/>
      <c r="X3" s="1314"/>
      <c r="Y3" s="1314"/>
      <c r="Z3" s="1314"/>
      <c r="AA3" s="1314"/>
      <c r="AB3" s="1314"/>
      <c r="AC3" s="1314"/>
    </row>
    <row r="4" spans="4:56" x14ac:dyDescent="0.3">
      <c r="D4" s="879" t="s">
        <v>380</v>
      </c>
      <c r="S4">
        <f>SUM(P10:S10)/4</f>
        <v>2509.8999999999996</v>
      </c>
      <c r="W4" s="35">
        <f>SUM(T10:W10)/4</f>
        <v>2571.1886261689424</v>
      </c>
      <c r="X4">
        <f>W4/S4</f>
        <v>1.0244187522088302</v>
      </c>
    </row>
    <row r="5" spans="4:56" x14ac:dyDescent="0.3">
      <c r="D5" s="1280" t="s">
        <v>453</v>
      </c>
      <c r="E5" s="1281"/>
      <c r="F5" s="1388" t="s">
        <v>325</v>
      </c>
      <c r="G5" s="1389"/>
      <c r="H5" s="1389"/>
      <c r="I5" s="1389"/>
      <c r="J5" s="1389"/>
      <c r="K5" s="1389"/>
      <c r="L5" s="1389"/>
      <c r="M5" s="1389"/>
      <c r="N5" s="1389"/>
      <c r="O5" s="1389"/>
      <c r="P5" s="1389"/>
      <c r="Q5" s="1390"/>
      <c r="R5" s="1390"/>
      <c r="S5" s="1390"/>
      <c r="T5" s="1373"/>
      <c r="U5" s="1294" t="s">
        <v>326</v>
      </c>
      <c r="V5" s="1294"/>
      <c r="W5" s="1294"/>
      <c r="X5" s="1294"/>
      <c r="Y5" s="1294"/>
      <c r="Z5" s="1294"/>
      <c r="AA5" s="1294"/>
      <c r="AB5" s="1294"/>
      <c r="AC5" s="1295"/>
      <c r="AD5" s="837"/>
      <c r="AE5" s="837"/>
      <c r="AF5" s="837"/>
      <c r="AG5" s="837"/>
      <c r="AH5" s="837"/>
      <c r="AI5" s="837"/>
      <c r="AJ5" s="837"/>
      <c r="AK5" s="837"/>
      <c r="AL5" s="837"/>
      <c r="AM5" s="837"/>
      <c r="AN5" s="837"/>
      <c r="AO5" s="837"/>
      <c r="AP5" s="837"/>
      <c r="AQ5" s="837"/>
      <c r="AR5" s="837"/>
      <c r="AS5" s="837"/>
      <c r="AT5" s="837"/>
      <c r="AU5" s="837"/>
      <c r="AV5" s="837"/>
      <c r="AW5" s="837"/>
      <c r="AX5" s="837"/>
      <c r="AY5" s="837"/>
      <c r="AZ5" s="837"/>
      <c r="BA5" s="837"/>
      <c r="BB5" s="837"/>
      <c r="BC5" s="837"/>
      <c r="BD5" s="837"/>
    </row>
    <row r="6" spans="4:56" x14ac:dyDescent="0.3">
      <c r="D6" s="1282"/>
      <c r="E6" s="1340"/>
      <c r="F6" s="1298">
        <v>2019</v>
      </c>
      <c r="G6" s="1299"/>
      <c r="H6" s="1306"/>
      <c r="I6" s="1299">
        <v>2020</v>
      </c>
      <c r="J6" s="1299"/>
      <c r="K6" s="1299"/>
      <c r="L6" s="1299"/>
      <c r="M6" s="1273">
        <v>2021</v>
      </c>
      <c r="N6" s="1278"/>
      <c r="O6" s="1278"/>
      <c r="P6" s="1278"/>
      <c r="Q6" s="1273">
        <v>2022</v>
      </c>
      <c r="R6" s="1274"/>
      <c r="S6" s="1274"/>
      <c r="T6" s="1279"/>
      <c r="U6" s="1393">
        <v>2023</v>
      </c>
      <c r="V6" s="1393"/>
      <c r="W6" s="1393"/>
      <c r="X6" s="1393"/>
      <c r="Y6" s="1287">
        <v>2024</v>
      </c>
      <c r="Z6" s="1285"/>
      <c r="AA6" s="1285"/>
      <c r="AB6" s="1285"/>
      <c r="AC6" s="233">
        <v>2025</v>
      </c>
      <c r="AD6" s="835"/>
      <c r="AE6" s="835"/>
      <c r="AF6" s="835"/>
      <c r="AG6" s="838"/>
      <c r="AH6" s="838"/>
      <c r="AI6" s="838"/>
      <c r="AJ6" s="838"/>
      <c r="AK6" s="838"/>
      <c r="AL6" s="838"/>
      <c r="AM6" s="838"/>
      <c r="AN6" s="838"/>
      <c r="AO6" s="838"/>
      <c r="AP6" s="838"/>
      <c r="AQ6" s="838"/>
      <c r="AR6" s="838"/>
      <c r="AS6" s="838"/>
      <c r="AT6" s="838"/>
      <c r="AU6" s="838"/>
      <c r="AV6" s="838"/>
      <c r="AW6" s="838"/>
      <c r="AX6" s="838"/>
      <c r="AY6" s="838"/>
      <c r="AZ6" s="838"/>
      <c r="BA6" s="838"/>
      <c r="BB6" s="838"/>
      <c r="BC6" s="838"/>
    </row>
    <row r="7" spans="4:56" x14ac:dyDescent="0.3">
      <c r="D7" s="1296"/>
      <c r="E7" s="1341"/>
      <c r="F7" s="163" t="s">
        <v>329</v>
      </c>
      <c r="G7" s="176" t="s">
        <v>238</v>
      </c>
      <c r="H7" s="159" t="s">
        <v>327</v>
      </c>
      <c r="I7" s="176" t="s">
        <v>328</v>
      </c>
      <c r="J7" s="176" t="s">
        <v>329</v>
      </c>
      <c r="K7" s="176" t="s">
        <v>238</v>
      </c>
      <c r="L7" s="176" t="s">
        <v>327</v>
      </c>
      <c r="M7" s="163" t="s">
        <v>328</v>
      </c>
      <c r="N7" s="176" t="s">
        <v>329</v>
      </c>
      <c r="O7" s="176" t="s">
        <v>238</v>
      </c>
      <c r="P7" s="176" t="s">
        <v>327</v>
      </c>
      <c r="Q7" s="163" t="s">
        <v>328</v>
      </c>
      <c r="R7" s="176" t="s">
        <v>329</v>
      </c>
      <c r="S7" s="176" t="s">
        <v>238</v>
      </c>
      <c r="T7" s="159" t="s">
        <v>327</v>
      </c>
      <c r="U7" s="280" t="s">
        <v>328</v>
      </c>
      <c r="V7" s="280" t="s">
        <v>329</v>
      </c>
      <c r="W7" s="280" t="s">
        <v>238</v>
      </c>
      <c r="X7" s="280" t="s">
        <v>327</v>
      </c>
      <c r="Y7" s="348" t="s">
        <v>328</v>
      </c>
      <c r="Z7" s="228" t="s">
        <v>329</v>
      </c>
      <c r="AA7" s="280" t="s">
        <v>238</v>
      </c>
      <c r="AB7" s="280" t="s">
        <v>327</v>
      </c>
      <c r="AC7" s="373" t="s">
        <v>328</v>
      </c>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c r="BC7" s="770"/>
    </row>
    <row r="8" spans="4:56" x14ac:dyDescent="0.3">
      <c r="D8" s="357" t="s">
        <v>515</v>
      </c>
      <c r="E8" s="69"/>
      <c r="F8" s="762"/>
      <c r="G8" s="741"/>
      <c r="H8" s="741"/>
      <c r="I8" s="741"/>
      <c r="J8" s="741"/>
      <c r="K8" s="741"/>
      <c r="L8" s="741"/>
      <c r="M8" s="741"/>
      <c r="N8" s="741"/>
      <c r="O8" s="741"/>
      <c r="P8" s="741"/>
      <c r="Q8" s="741"/>
      <c r="R8" s="741"/>
      <c r="S8" s="741"/>
      <c r="T8" s="741"/>
      <c r="U8" s="750"/>
      <c r="V8" s="751"/>
      <c r="W8" s="751"/>
      <c r="X8" s="751"/>
      <c r="Y8" s="751"/>
      <c r="Z8" s="751"/>
      <c r="AA8" s="751"/>
      <c r="AB8" s="751"/>
      <c r="AC8" s="752"/>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c r="BC8" s="736"/>
    </row>
    <row r="9" spans="4:56" ht="14.85" customHeight="1" x14ac:dyDescent="0.3">
      <c r="D9" s="476" t="s">
        <v>531</v>
      </c>
      <c r="E9" s="815"/>
      <c r="F9" s="880">
        <f t="shared" ref="F9:P9" si="0">SUM(F10:F15)</f>
        <v>3266.5</v>
      </c>
      <c r="G9" s="742">
        <f t="shared" si="0"/>
        <v>3286.9</v>
      </c>
      <c r="H9" s="742">
        <f t="shared" si="0"/>
        <v>3332.3</v>
      </c>
      <c r="I9" s="742">
        <f t="shared" si="0"/>
        <v>3393.2999999999997</v>
      </c>
      <c r="J9" s="742">
        <f t="shared" si="0"/>
        <v>3128.1</v>
      </c>
      <c r="K9" s="742">
        <f t="shared" si="0"/>
        <v>3303.4</v>
      </c>
      <c r="L9" s="742">
        <f t="shared" si="0"/>
        <v>3457.8</v>
      </c>
      <c r="M9" s="742">
        <f>SUM(M10:M15)</f>
        <v>3596.7999999999997</v>
      </c>
      <c r="N9" s="742">
        <f t="shared" si="0"/>
        <v>3753.5</v>
      </c>
      <c r="O9" s="742">
        <f t="shared" si="0"/>
        <v>3871.9000000000005</v>
      </c>
      <c r="P9" s="742">
        <f t="shared" si="0"/>
        <v>4000.8999999999996</v>
      </c>
      <c r="Q9" s="742">
        <f t="shared" ref="Q9:S9" si="1">SUM(Q10:Q15)</f>
        <v>4383.5999999999995</v>
      </c>
      <c r="R9" s="742">
        <f t="shared" si="1"/>
        <v>4444.7999999999993</v>
      </c>
      <c r="S9" s="742">
        <f t="shared" si="1"/>
        <v>4522.2</v>
      </c>
      <c r="T9" s="742">
        <f t="shared" ref="T9:AC9" si="2">SUM(T10,T13,T15)</f>
        <v>4546</v>
      </c>
      <c r="U9" s="753">
        <f t="shared" si="2"/>
        <v>4484.8338396206082</v>
      </c>
      <c r="V9" s="746">
        <f t="shared" si="2"/>
        <v>4475.1256243972575</v>
      </c>
      <c r="W9" s="746">
        <f t="shared" si="2"/>
        <v>4465.8739335289974</v>
      </c>
      <c r="X9" s="746">
        <f t="shared" si="2"/>
        <v>4478.3368458791647</v>
      </c>
      <c r="Y9" s="746">
        <f t="shared" si="2"/>
        <v>4486.1153485047389</v>
      </c>
      <c r="Z9" s="746">
        <f t="shared" si="2"/>
        <v>4494.2116295943742</v>
      </c>
      <c r="AA9" s="746">
        <f t="shared" si="2"/>
        <v>4502.6279087443791</v>
      </c>
      <c r="AB9" s="746">
        <f t="shared" si="2"/>
        <v>4532.842930779605</v>
      </c>
      <c r="AC9" s="737">
        <f t="shared" si="2"/>
        <v>4563.3094931572341</v>
      </c>
      <c r="AD9" s="842"/>
      <c r="AF9" s="724"/>
      <c r="AG9" s="724"/>
      <c r="AH9" s="724"/>
      <c r="AI9" s="724"/>
      <c r="AJ9" s="724"/>
      <c r="AK9" s="724"/>
      <c r="AL9" s="724"/>
      <c r="AM9" s="724"/>
      <c r="AN9" s="724"/>
      <c r="AO9" s="724"/>
      <c r="AU9" s="842"/>
      <c r="AV9" s="842"/>
      <c r="AW9" s="842"/>
      <c r="AX9" s="842"/>
      <c r="AY9" s="842"/>
      <c r="AZ9" s="842"/>
      <c r="BA9" s="842"/>
      <c r="BB9" s="842"/>
      <c r="BC9" s="842"/>
    </row>
    <row r="10" spans="4:56" x14ac:dyDescent="0.3">
      <c r="D10" s="481" t="s">
        <v>532</v>
      </c>
      <c r="E10" s="52" t="s">
        <v>115</v>
      </c>
      <c r="F10" s="733">
        <f>'Haver Pivoted'!GQ27</f>
        <v>1692.6</v>
      </c>
      <c r="G10" s="734">
        <f>'Haver Pivoted'!GR27</f>
        <v>1700.6</v>
      </c>
      <c r="H10" s="734">
        <f>'Haver Pivoted'!GS27</f>
        <v>1726.4</v>
      </c>
      <c r="I10" s="734">
        <f>'Haver Pivoted'!GT27</f>
        <v>1751.6</v>
      </c>
      <c r="J10" s="734">
        <f>'Haver Pivoted'!GU27</f>
        <v>1610.2</v>
      </c>
      <c r="K10" s="734">
        <f>'Haver Pivoted'!GV27</f>
        <v>1722.1</v>
      </c>
      <c r="L10" s="734">
        <f>'Haver Pivoted'!GW27</f>
        <v>1837.8</v>
      </c>
      <c r="M10" s="734">
        <f>'Haver Pivoted'!GX27</f>
        <v>1965.4</v>
      </c>
      <c r="N10" s="734">
        <f>'Haver Pivoted'!GY27</f>
        <v>2071.9</v>
      </c>
      <c r="O10" s="734">
        <f>'Haver Pivoted'!GZ27</f>
        <v>2158.8000000000002</v>
      </c>
      <c r="P10" s="734">
        <f>'Haver Pivoted'!HA27</f>
        <v>2235.1999999999998</v>
      </c>
      <c r="Q10" s="734">
        <f>'Haver Pivoted'!HB27</f>
        <v>2564.1</v>
      </c>
      <c r="R10" s="734">
        <f>'Haver Pivoted'!HC27</f>
        <v>2598.6</v>
      </c>
      <c r="S10" s="734">
        <f>'Haver Pivoted'!HD27</f>
        <v>2641.7</v>
      </c>
      <c r="T10" s="734">
        <f>'Haver Pivoted'!HE27</f>
        <v>2650.4</v>
      </c>
      <c r="U10" s="754">
        <f t="shared" ref="U10:AC10" si="3">SUM(U11:U12)</f>
        <v>2571.8993364990092</v>
      </c>
      <c r="V10" s="744">
        <f t="shared" si="3"/>
        <v>2544.689060992564</v>
      </c>
      <c r="W10" s="744">
        <f t="shared" si="3"/>
        <v>2517.7661071841958</v>
      </c>
      <c r="X10" s="744">
        <f t="shared" si="3"/>
        <v>2508.7258210615078</v>
      </c>
      <c r="Y10" s="744">
        <f t="shared" si="3"/>
        <v>2494.7636752126427</v>
      </c>
      <c r="Z10" s="744">
        <f t="shared" si="3"/>
        <v>2480.8792347531307</v>
      </c>
      <c r="AA10" s="744">
        <f t="shared" si="3"/>
        <v>2467.0720672188213</v>
      </c>
      <c r="AB10" s="744">
        <f t="shared" si="3"/>
        <v>2477.9809534610226</v>
      </c>
      <c r="AC10" s="816">
        <f t="shared" si="3"/>
        <v>2488.9380765588176</v>
      </c>
      <c r="AD10" s="736"/>
      <c r="AF10" s="724"/>
      <c r="AG10" s="724"/>
      <c r="AH10" s="724"/>
      <c r="AI10" s="724"/>
      <c r="AJ10" s="724"/>
      <c r="AK10" s="724"/>
      <c r="AL10" s="724"/>
      <c r="AM10" s="724"/>
      <c r="AN10" s="724"/>
      <c r="AO10" s="724"/>
      <c r="AU10" s="736"/>
      <c r="AV10" s="736"/>
      <c r="AW10" s="736"/>
      <c r="AX10" s="736"/>
      <c r="AY10" s="736"/>
      <c r="AZ10" s="736"/>
      <c r="BA10" s="736"/>
      <c r="BB10" s="736"/>
      <c r="BC10" s="736"/>
    </row>
    <row r="11" spans="4:56" ht="15.6" customHeight="1" x14ac:dyDescent="0.3">
      <c r="D11" s="481" t="s">
        <v>1457</v>
      </c>
      <c r="E11" s="52"/>
      <c r="F11" s="733"/>
      <c r="G11" s="734"/>
      <c r="H11" s="734"/>
      <c r="I11" s="734"/>
      <c r="J11" s="734"/>
      <c r="K11" s="734"/>
      <c r="L11" s="734"/>
      <c r="M11" s="734"/>
      <c r="N11" s="734"/>
      <c r="O11" s="734"/>
      <c r="P11" s="734"/>
      <c r="Q11" s="734"/>
      <c r="R11" s="734"/>
      <c r="S11" s="725"/>
      <c r="T11" s="725">
        <f>T10-T12</f>
        <v>2604.4</v>
      </c>
      <c r="U11" s="754">
        <f>T11*(1+$J41)^0.25</f>
        <v>2576.8993364990092</v>
      </c>
      <c r="V11" s="744">
        <f>U11*(1+$J41)^0.25</f>
        <v>2549.689060992564</v>
      </c>
      <c r="W11" s="744">
        <f>V11*(1+$J41)^0.25</f>
        <v>2522.7661071841958</v>
      </c>
      <c r="X11" s="744">
        <f>W11*(1+$K41)^0.25</f>
        <v>2508.7258210615078</v>
      </c>
      <c r="Y11" s="744">
        <f>X11*(1+$K41)^0.25</f>
        <v>2494.7636752126427</v>
      </c>
      <c r="Z11" s="744">
        <f>Y11*(1+$K41)^0.25</f>
        <v>2480.8792347531307</v>
      </c>
      <c r="AA11" s="744">
        <f>Z11*(1+$K41)^0.25</f>
        <v>2467.0720672188213</v>
      </c>
      <c r="AB11" s="744">
        <f>AA11*(1+$L41)^0.25</f>
        <v>2477.9809534610226</v>
      </c>
      <c r="AC11" s="816">
        <f>AB11*(1+$L41)^0.25</f>
        <v>2488.9380765588176</v>
      </c>
      <c r="AD11" s="736"/>
      <c r="AF11" s="724"/>
      <c r="AG11" s="724"/>
      <c r="AH11" s="724"/>
      <c r="AI11" s="724"/>
      <c r="AJ11" s="724"/>
      <c r="AK11" s="724"/>
      <c r="AL11" s="724"/>
      <c r="AM11" s="724"/>
      <c r="AN11" s="724"/>
      <c r="AO11" s="724"/>
      <c r="AU11" s="736"/>
      <c r="AV11" s="736"/>
      <c r="AW11" s="736"/>
      <c r="AX11" s="736"/>
      <c r="AY11" s="736"/>
      <c r="AZ11" s="736"/>
      <c r="BA11" s="736"/>
      <c r="BB11" s="736"/>
      <c r="BC11" s="736"/>
    </row>
    <row r="12" spans="4:56" x14ac:dyDescent="0.3">
      <c r="D12" s="828" t="s">
        <v>1918</v>
      </c>
      <c r="E12" s="829"/>
      <c r="F12" s="733"/>
      <c r="G12" s="734"/>
      <c r="H12" s="734"/>
      <c r="I12" s="734"/>
      <c r="J12" s="734"/>
      <c r="K12" s="734"/>
      <c r="L12" s="734"/>
      <c r="M12" s="734"/>
      <c r="N12" s="734"/>
      <c r="O12" s="734"/>
      <c r="P12" s="734"/>
      <c r="Q12" s="734"/>
      <c r="R12" s="734"/>
      <c r="S12" s="725"/>
      <c r="T12" s="830">
        <v>46</v>
      </c>
      <c r="U12" s="754">
        <v>-5</v>
      </c>
      <c r="V12" s="744">
        <v>-5</v>
      </c>
      <c r="W12" s="744">
        <v>-5</v>
      </c>
      <c r="X12" s="744"/>
      <c r="Y12" s="744"/>
      <c r="Z12" s="744"/>
      <c r="AA12" s="744"/>
      <c r="AB12" s="744"/>
      <c r="AC12" s="816"/>
      <c r="AD12" s="736"/>
      <c r="AF12" s="724"/>
      <c r="AG12" s="724"/>
      <c r="AH12" s="724"/>
      <c r="AI12" s="724"/>
      <c r="AJ12" s="724"/>
      <c r="AK12" s="724"/>
      <c r="AL12" s="724"/>
      <c r="AM12" s="724"/>
      <c r="AN12" s="724"/>
      <c r="AO12" s="724"/>
      <c r="AU12" s="736"/>
      <c r="AV12" s="736"/>
      <c r="AW12" s="736"/>
      <c r="AX12" s="736"/>
      <c r="AY12" s="736"/>
      <c r="AZ12" s="736"/>
      <c r="BA12" s="736"/>
      <c r="BB12" s="736"/>
      <c r="BC12" s="736"/>
    </row>
    <row r="13" spans="4:56" x14ac:dyDescent="0.3">
      <c r="D13" s="817" t="s">
        <v>533</v>
      </c>
      <c r="E13" s="831" t="s">
        <v>121</v>
      </c>
      <c r="F13" s="733">
        <f>'Haver Pivoted'!GQ30</f>
        <v>1402.6</v>
      </c>
      <c r="G13" s="734">
        <f>'Haver Pivoted'!GR30</f>
        <v>1410</v>
      </c>
      <c r="H13" s="734">
        <f>'Haver Pivoted'!GS30</f>
        <v>1429</v>
      </c>
      <c r="I13" s="734">
        <f>'Haver Pivoted'!GT30</f>
        <v>1455.1</v>
      </c>
      <c r="J13" s="734">
        <f>'Haver Pivoted'!GU30</f>
        <v>1385.3</v>
      </c>
      <c r="K13" s="734">
        <f>'Haver Pivoted'!GV30</f>
        <v>1432.2</v>
      </c>
      <c r="L13" s="734">
        <f>'Haver Pivoted'!GW30</f>
        <v>1465</v>
      </c>
      <c r="M13" s="734">
        <f>'Haver Pivoted'!GX30</f>
        <v>1474.8</v>
      </c>
      <c r="N13" s="734">
        <f>'Haver Pivoted'!GY30</f>
        <v>1504.3</v>
      </c>
      <c r="O13" s="734">
        <f>'Haver Pivoted'!GZ30</f>
        <v>1536.3</v>
      </c>
      <c r="P13" s="734">
        <f>'Haver Pivoted'!HA30</f>
        <v>1578.1</v>
      </c>
      <c r="Q13" s="734">
        <f>'Haver Pivoted'!HB30</f>
        <v>1617.1</v>
      </c>
      <c r="R13" s="734">
        <f>'Haver Pivoted'!HC30</f>
        <v>1636.8</v>
      </c>
      <c r="S13" s="743">
        <f>'Haver Pivoted'!HD30</f>
        <v>1677.7</v>
      </c>
      <c r="T13" s="743">
        <f>'Haver Pivoted'!HE30</f>
        <v>1703.1</v>
      </c>
      <c r="U13" s="754">
        <f>T13*(1+$J42)^0.25</f>
        <v>1719.9245648797018</v>
      </c>
      <c r="V13" s="744">
        <f>U13*(1+$J42)^0.25</f>
        <v>1736.9153360792859</v>
      </c>
      <c r="W13" s="744">
        <f>V13*(1+$J42)^0.25</f>
        <v>1754.0739555158516</v>
      </c>
      <c r="X13" s="744">
        <f>W13*(1+$K42)^0.25</f>
        <v>1773.5661717250646</v>
      </c>
      <c r="Y13" s="744">
        <f>X13*(1+$K42)^0.25</f>
        <v>1793.2749959578741</v>
      </c>
      <c r="Z13" s="744">
        <f>Y13*(1+$K42)^0.25</f>
        <v>1813.2028352795101</v>
      </c>
      <c r="AA13" s="744">
        <f>Z13*(1+$K42)^0.25</f>
        <v>1833.3521235038095</v>
      </c>
      <c r="AB13" s="744">
        <f>AA13*(1+$L42)^0.25</f>
        <v>1852.6582592968339</v>
      </c>
      <c r="AC13" s="816">
        <f>AB13*(1+$L42)^0.25</f>
        <v>1872.167698576668</v>
      </c>
      <c r="AD13" s="736"/>
      <c r="AF13" s="724"/>
      <c r="AG13" s="724"/>
      <c r="AH13" s="724"/>
      <c r="AI13" s="724"/>
      <c r="AJ13" s="724"/>
      <c r="AK13" s="724"/>
      <c r="AL13" s="724"/>
      <c r="AM13" s="724"/>
      <c r="AN13" s="724"/>
      <c r="AO13" s="724"/>
      <c r="AU13" s="736"/>
      <c r="AV13" s="736"/>
      <c r="AW13" s="736"/>
      <c r="AX13" s="736"/>
      <c r="AY13" s="736"/>
      <c r="AZ13" s="736"/>
      <c r="BA13" s="736"/>
      <c r="BB13" s="736"/>
      <c r="BC13" s="736"/>
    </row>
    <row r="14" spans="4:56" x14ac:dyDescent="0.3">
      <c r="D14" s="481" t="s">
        <v>1828</v>
      </c>
      <c r="E14" s="49"/>
      <c r="F14" s="733"/>
      <c r="G14" s="734"/>
      <c r="H14" s="734"/>
      <c r="I14" s="734"/>
      <c r="J14" s="734"/>
      <c r="K14" s="734"/>
      <c r="L14" s="734"/>
      <c r="M14" s="734"/>
      <c r="N14" s="734"/>
      <c r="O14" s="734"/>
      <c r="P14" s="734"/>
      <c r="Q14" s="734"/>
      <c r="R14" s="734"/>
      <c r="S14" s="743"/>
      <c r="T14" s="725"/>
      <c r="U14" s="754"/>
      <c r="V14" s="744"/>
      <c r="W14" s="744"/>
      <c r="X14" s="744"/>
      <c r="Y14" s="744"/>
      <c r="Z14" s="744"/>
      <c r="AA14" s="744"/>
      <c r="AB14" s="744"/>
      <c r="AC14" s="816"/>
      <c r="AD14" s="736"/>
      <c r="AF14" s="724"/>
      <c r="AG14" s="724"/>
      <c r="AH14" s="724"/>
      <c r="AI14" s="724"/>
      <c r="AJ14" s="724"/>
      <c r="AK14" s="724"/>
      <c r="AL14" s="724"/>
      <c r="AM14" s="724"/>
      <c r="AN14" s="724"/>
      <c r="AO14" s="724"/>
      <c r="AU14" s="736"/>
      <c r="AV14" s="736"/>
      <c r="AW14" s="736"/>
      <c r="AX14" s="736"/>
      <c r="AY14" s="736"/>
      <c r="AZ14" s="736"/>
      <c r="BA14" s="736"/>
      <c r="BB14" s="736"/>
      <c r="BC14" s="736"/>
    </row>
    <row r="15" spans="4:56" x14ac:dyDescent="0.3">
      <c r="D15" s="481" t="s">
        <v>534</v>
      </c>
      <c r="E15" s="52" t="s">
        <v>117</v>
      </c>
      <c r="F15" s="733">
        <f>'Haver Pivoted'!GQ28</f>
        <v>171.3</v>
      </c>
      <c r="G15" s="734">
        <f>'Haver Pivoted'!GR28</f>
        <v>176.3</v>
      </c>
      <c r="H15" s="734">
        <f>'Haver Pivoted'!GS28</f>
        <v>176.9</v>
      </c>
      <c r="I15" s="734">
        <f>'Haver Pivoted'!GT28</f>
        <v>186.6</v>
      </c>
      <c r="J15" s="734">
        <f>'Haver Pivoted'!GU28</f>
        <v>132.6</v>
      </c>
      <c r="K15" s="734">
        <f>'Haver Pivoted'!GV28</f>
        <v>149.1</v>
      </c>
      <c r="L15" s="734">
        <f>'Haver Pivoted'!GW28</f>
        <v>155</v>
      </c>
      <c r="M15" s="734">
        <f>'Haver Pivoted'!GX28</f>
        <v>156.6</v>
      </c>
      <c r="N15" s="734">
        <f>'Haver Pivoted'!GY28</f>
        <v>177.3</v>
      </c>
      <c r="O15" s="734">
        <f>'Haver Pivoted'!GZ28</f>
        <v>176.8</v>
      </c>
      <c r="P15" s="734">
        <f>'Haver Pivoted'!HA28</f>
        <v>187.6</v>
      </c>
      <c r="Q15" s="734">
        <f>'Haver Pivoted'!HB28</f>
        <v>202.4</v>
      </c>
      <c r="R15" s="734">
        <f>'Haver Pivoted'!HC28</f>
        <v>209.4</v>
      </c>
      <c r="S15" s="734">
        <f>'Haver Pivoted'!HD28</f>
        <v>202.8</v>
      </c>
      <c r="T15" s="734">
        <f>'Haver Pivoted'!HE28</f>
        <v>192.5</v>
      </c>
      <c r="U15" s="754">
        <f t="shared" ref="U15:AC15" si="4">SUM(U16:U17)</f>
        <v>193.00993824189698</v>
      </c>
      <c r="V15" s="744">
        <f t="shared" si="4"/>
        <v>193.52122732540718</v>
      </c>
      <c r="W15" s="744">
        <f t="shared" si="4"/>
        <v>194.03387082895034</v>
      </c>
      <c r="X15" s="744">
        <f t="shared" si="4"/>
        <v>196.04485309259218</v>
      </c>
      <c r="Y15" s="744">
        <f t="shared" si="4"/>
        <v>198.0766773342217</v>
      </c>
      <c r="Z15" s="744">
        <f t="shared" si="4"/>
        <v>200.12955956173431</v>
      </c>
      <c r="AA15" s="744">
        <f t="shared" si="4"/>
        <v>202.20371802174816</v>
      </c>
      <c r="AB15" s="744">
        <f t="shared" si="4"/>
        <v>202.20371802174816</v>
      </c>
      <c r="AC15" s="816">
        <f t="shared" si="4"/>
        <v>202.20371802174816</v>
      </c>
      <c r="AD15" s="736"/>
      <c r="AF15" s="724"/>
      <c r="AG15" s="724"/>
      <c r="AH15" s="724"/>
      <c r="AI15" s="724"/>
      <c r="AJ15" s="724"/>
      <c r="AK15" s="724"/>
      <c r="AL15" s="724"/>
      <c r="AM15" s="724"/>
      <c r="AN15" s="724"/>
      <c r="AO15" s="724"/>
      <c r="AU15" s="736"/>
      <c r="AV15" s="736"/>
      <c r="AW15" s="736"/>
      <c r="AX15" s="736"/>
      <c r="AY15" s="736"/>
      <c r="AZ15" s="736"/>
      <c r="BA15" s="736"/>
      <c r="BB15" s="736"/>
      <c r="BC15" s="736"/>
    </row>
    <row r="16" spans="4:56" x14ac:dyDescent="0.3">
      <c r="D16" s="481" t="s">
        <v>1511</v>
      </c>
      <c r="E16" s="52"/>
      <c r="F16" s="733"/>
      <c r="G16" s="734"/>
      <c r="H16" s="734"/>
      <c r="I16" s="734"/>
      <c r="J16" s="734"/>
      <c r="K16" s="734"/>
      <c r="L16" s="734"/>
      <c r="M16" s="734"/>
      <c r="N16" s="734"/>
      <c r="O16" s="734"/>
      <c r="P16" s="734"/>
      <c r="Q16" s="734"/>
      <c r="R16" s="734"/>
      <c r="S16" s="725"/>
      <c r="T16" s="725"/>
      <c r="U16" s="754">
        <f>T15*(1+$J43)^0.25</f>
        <v>193.00993824189698</v>
      </c>
      <c r="V16" s="744">
        <f>U16*(1+$J43)^0.25</f>
        <v>193.52122732540718</v>
      </c>
      <c r="W16" s="744">
        <f>V16*(1+$J43)^0.25</f>
        <v>194.03387082895034</v>
      </c>
      <c r="X16" s="744">
        <f>W16*(1+$K43)^0.25</f>
        <v>196.04485309259218</v>
      </c>
      <c r="Y16" s="744">
        <f>X16*(1+$K43)^0.25</f>
        <v>198.0766773342217</v>
      </c>
      <c r="Z16" s="744">
        <f>Y16*(1+$K43)^0.25</f>
        <v>200.12955956173431</v>
      </c>
      <c r="AA16" s="744">
        <f>Z16*(1+$K43)^0.25</f>
        <v>202.20371802174816</v>
      </c>
      <c r="AB16" s="744">
        <f>AA16*(1+$L43)^0.25</f>
        <v>202.20371802174816</v>
      </c>
      <c r="AC16" s="816">
        <f>AB16*(1+$L43)^0.25</f>
        <v>202.20371802174816</v>
      </c>
      <c r="AD16" s="736"/>
      <c r="AF16" s="724"/>
      <c r="AG16" s="724"/>
      <c r="AH16" s="724"/>
      <c r="AI16" s="724"/>
      <c r="AJ16" s="724"/>
      <c r="AK16" s="724"/>
      <c r="AL16" s="724"/>
      <c r="AM16" s="724"/>
      <c r="AN16" s="724"/>
      <c r="AO16" s="724"/>
      <c r="AU16" s="736"/>
      <c r="AV16" s="736"/>
      <c r="AW16" s="736"/>
      <c r="AX16" s="736"/>
      <c r="AY16" s="736"/>
      <c r="AZ16" s="736"/>
      <c r="BA16" s="736"/>
      <c r="BB16" s="736"/>
      <c r="BC16" s="736"/>
    </row>
    <row r="17" spans="4:55" x14ac:dyDescent="0.3">
      <c r="D17" s="828" t="s">
        <v>1512</v>
      </c>
      <c r="E17" s="829"/>
      <c r="F17" s="733"/>
      <c r="G17" s="734"/>
      <c r="H17" s="734"/>
      <c r="I17" s="734"/>
      <c r="J17" s="734"/>
      <c r="K17" s="734"/>
      <c r="L17" s="734"/>
      <c r="M17" s="734"/>
      <c r="N17" s="734"/>
      <c r="O17" s="734"/>
      <c r="P17" s="734"/>
      <c r="Q17" s="734"/>
      <c r="R17" s="734"/>
      <c r="S17" s="725"/>
      <c r="T17" s="725"/>
      <c r="U17" s="754">
        <v>0</v>
      </c>
      <c r="V17" s="744">
        <v>0</v>
      </c>
      <c r="W17" s="744">
        <v>0</v>
      </c>
      <c r="X17" s="744">
        <v>0</v>
      </c>
      <c r="Y17" s="744">
        <v>0</v>
      </c>
      <c r="Z17" s="744">
        <v>0</v>
      </c>
      <c r="AA17" s="744">
        <v>0</v>
      </c>
      <c r="AB17" s="744">
        <v>0</v>
      </c>
      <c r="AC17" s="816">
        <v>0</v>
      </c>
      <c r="AD17" s="736"/>
      <c r="AF17" s="724"/>
      <c r="AG17" s="724"/>
      <c r="AH17" s="724"/>
      <c r="AI17" s="724"/>
      <c r="AJ17" s="724"/>
      <c r="AK17" s="724"/>
      <c r="AL17" s="724"/>
      <c r="AM17" s="724"/>
      <c r="AN17" s="724"/>
      <c r="AO17" s="724"/>
      <c r="AU17" s="736"/>
      <c r="AV17" s="736"/>
      <c r="AW17" s="736"/>
      <c r="AX17" s="736"/>
      <c r="AY17" s="736"/>
      <c r="AZ17" s="736"/>
      <c r="BA17" s="736"/>
      <c r="BB17" s="736"/>
      <c r="BC17" s="736"/>
    </row>
    <row r="18" spans="4:55" ht="14.85" customHeight="1" x14ac:dyDescent="0.3">
      <c r="D18" s="476" t="s">
        <v>535</v>
      </c>
      <c r="E18" s="818" t="s">
        <v>119</v>
      </c>
      <c r="F18" s="881">
        <f>'Haver Pivoted'!GQ29</f>
        <v>215.9</v>
      </c>
      <c r="G18" s="745">
        <f>'Haver Pivoted'!GR29</f>
        <v>196.9</v>
      </c>
      <c r="H18" s="745">
        <f>'Haver Pivoted'!GS29</f>
        <v>226.2</v>
      </c>
      <c r="I18" s="745">
        <f>'Haver Pivoted'!GT29</f>
        <v>183.1</v>
      </c>
      <c r="J18" s="745">
        <f>'Haver Pivoted'!GU29</f>
        <v>177.8</v>
      </c>
      <c r="K18" s="745">
        <f>'Haver Pivoted'!GV29</f>
        <v>218.4</v>
      </c>
      <c r="L18" s="745">
        <f>'Haver Pivoted'!GW29</f>
        <v>226.5</v>
      </c>
      <c r="M18" s="745">
        <f>'Haver Pivoted'!GX29</f>
        <v>249.6</v>
      </c>
      <c r="N18" s="745">
        <f>'Haver Pivoted'!GY29</f>
        <v>281.39999999999998</v>
      </c>
      <c r="O18" s="745">
        <f>'Haver Pivoted'!GZ29</f>
        <v>278.39999999999998</v>
      </c>
      <c r="P18" s="745">
        <f>'Haver Pivoted'!HA29</f>
        <v>304.8</v>
      </c>
      <c r="Q18" s="745">
        <f>'Haver Pivoted'!HB29</f>
        <v>313.8</v>
      </c>
      <c r="R18" s="745">
        <f>'Haver Pivoted'!HC29</f>
        <v>353.2</v>
      </c>
      <c r="S18" s="785">
        <f>'Haver Pivoted'!HD29</f>
        <v>340.6</v>
      </c>
      <c r="T18" s="744">
        <f t="shared" ref="T18:AC18" si="5">T20+T19</f>
        <v>350.30119606059549</v>
      </c>
      <c r="U18" s="754">
        <f t="shared" si="5"/>
        <v>360.27870804898345</v>
      </c>
      <c r="V18" s="744">
        <f t="shared" si="5"/>
        <v>370.54040617946271</v>
      </c>
      <c r="W18" s="744">
        <f t="shared" si="5"/>
        <v>381.09438483101775</v>
      </c>
      <c r="X18" s="744">
        <f t="shared" si="5"/>
        <v>381.72153892635089</v>
      </c>
      <c r="Y18" s="744">
        <f t="shared" si="5"/>
        <v>382.34972510789402</v>
      </c>
      <c r="Z18" s="744">
        <f t="shared" si="5"/>
        <v>382.97894507411644</v>
      </c>
      <c r="AA18" s="744">
        <f t="shared" si="5"/>
        <v>383.60920052628245</v>
      </c>
      <c r="AB18" s="744">
        <f t="shared" si="5"/>
        <v>385.61244152866738</v>
      </c>
      <c r="AC18" s="816">
        <f t="shared" si="5"/>
        <v>400.52681927840081</v>
      </c>
      <c r="AD18" s="842"/>
      <c r="AF18" s="724"/>
      <c r="AG18" s="724"/>
      <c r="AH18" s="724"/>
      <c r="AI18" s="724"/>
      <c r="AJ18" s="724"/>
      <c r="AK18" s="724"/>
      <c r="AL18" s="724"/>
      <c r="AM18" s="724"/>
      <c r="AN18" s="724"/>
      <c r="AO18" s="724"/>
      <c r="AU18" s="842"/>
      <c r="AV18" s="842"/>
      <c r="AW18" s="842"/>
      <c r="AX18" s="842"/>
      <c r="AY18" s="842"/>
      <c r="AZ18" s="842"/>
      <c r="BA18" s="842"/>
      <c r="BB18" s="842"/>
      <c r="BC18" s="842"/>
    </row>
    <row r="19" spans="4:55" x14ac:dyDescent="0.3">
      <c r="D19" s="236" t="s">
        <v>1458</v>
      </c>
      <c r="E19" s="69"/>
      <c r="F19" s="860"/>
      <c r="G19" s="784"/>
      <c r="H19" s="784"/>
      <c r="I19" s="784"/>
      <c r="J19" s="784"/>
      <c r="K19" s="784"/>
      <c r="L19" s="784"/>
      <c r="M19" s="784"/>
      <c r="N19" s="784"/>
      <c r="O19" s="784"/>
      <c r="P19" s="784"/>
      <c r="Q19" s="786"/>
      <c r="R19" s="784"/>
      <c r="S19" s="725"/>
      <c r="T19" s="725">
        <f>S18*(1+$J44)^0.25</f>
        <v>350.30119606059549</v>
      </c>
      <c r="U19" s="754">
        <f>T18*(1+$J44)^0.25</f>
        <v>360.27870804898345</v>
      </c>
      <c r="V19" s="744">
        <f>U19*(1+$J44)^0.25</f>
        <v>370.54040617946271</v>
      </c>
      <c r="W19" s="744">
        <f>V19*(1+$J44)^0.25</f>
        <v>381.09438483101775</v>
      </c>
      <c r="X19" s="744">
        <f>W19*(1+$K44)^0.25</f>
        <v>381.72153892635089</v>
      </c>
      <c r="Y19" s="744">
        <f>X19*(1+$K44)^0.25</f>
        <v>382.34972510789402</v>
      </c>
      <c r="Z19" s="744">
        <f>Y19*(1+$K44)^0.25</f>
        <v>382.97894507411644</v>
      </c>
      <c r="AA19" s="744">
        <f>Z19*(1+$K44)^0.25</f>
        <v>383.60920052628245</v>
      </c>
      <c r="AB19" s="744">
        <f>AA19*(1+$L44)^0.25</f>
        <v>385.61244152866738</v>
      </c>
      <c r="AC19" s="816">
        <f>AB19*(1+$I44)^0.25</f>
        <v>400.52681927840081</v>
      </c>
      <c r="AD19" s="736"/>
      <c r="AF19" s="724"/>
      <c r="AG19" s="724"/>
      <c r="AH19" s="724"/>
      <c r="AI19" s="724"/>
      <c r="AJ19" s="724"/>
      <c r="AK19" s="724"/>
      <c r="AL19" s="724"/>
      <c r="AM19" s="724"/>
      <c r="AN19" s="724"/>
      <c r="AO19" s="724"/>
      <c r="AU19" s="736"/>
      <c r="AV19" s="736"/>
      <c r="AW19" s="736"/>
      <c r="AX19" s="736"/>
      <c r="AY19" s="736"/>
      <c r="AZ19" s="736"/>
      <c r="BA19" s="736"/>
      <c r="BB19" s="736"/>
      <c r="BC19" s="736"/>
    </row>
    <row r="20" spans="4:55" ht="14.85" customHeight="1" x14ac:dyDescent="0.3">
      <c r="D20" s="236" t="s">
        <v>1456</v>
      </c>
      <c r="E20" s="818"/>
      <c r="F20" s="881"/>
      <c r="G20" s="745"/>
      <c r="H20" s="745"/>
      <c r="I20" s="745"/>
      <c r="J20" s="745"/>
      <c r="K20" s="745"/>
      <c r="L20" s="745"/>
      <c r="M20" s="745"/>
      <c r="N20" s="745"/>
      <c r="O20" s="745"/>
      <c r="P20" s="745"/>
      <c r="Q20" s="745"/>
      <c r="R20" s="745"/>
      <c r="S20" s="725"/>
      <c r="T20" s="725">
        <v>0</v>
      </c>
      <c r="U20" s="754">
        <v>0</v>
      </c>
      <c r="V20" s="744">
        <v>0</v>
      </c>
      <c r="W20" s="744">
        <v>0</v>
      </c>
      <c r="X20" s="744">
        <v>0</v>
      </c>
      <c r="Y20" s="744">
        <v>0</v>
      </c>
      <c r="Z20" s="744">
        <v>0</v>
      </c>
      <c r="AA20" s="744">
        <v>0</v>
      </c>
      <c r="AB20" s="744">
        <v>0</v>
      </c>
      <c r="AC20" s="816">
        <v>0</v>
      </c>
      <c r="AD20" s="842"/>
      <c r="AF20" s="724"/>
      <c r="AG20" s="724"/>
      <c r="AH20" s="724"/>
      <c r="AI20" s="724"/>
      <c r="AJ20" s="724"/>
      <c r="AK20" s="724"/>
      <c r="AL20" s="724"/>
      <c r="AM20" s="724"/>
      <c r="AN20" s="724"/>
      <c r="AO20" s="724"/>
      <c r="AU20" s="842"/>
      <c r="AV20" s="842"/>
      <c r="AW20" s="842"/>
      <c r="AX20" s="842"/>
      <c r="AY20" s="842"/>
      <c r="AZ20" s="842"/>
      <c r="BA20" s="842"/>
      <c r="BB20" s="842"/>
      <c r="BC20" s="842"/>
    </row>
    <row r="21" spans="4:55" x14ac:dyDescent="0.3">
      <c r="D21" s="826" t="s">
        <v>523</v>
      </c>
      <c r="E21" s="377"/>
      <c r="F21" s="762"/>
      <c r="G21" s="741"/>
      <c r="H21" s="741"/>
      <c r="I21" s="741"/>
      <c r="J21" s="741"/>
      <c r="K21" s="741"/>
      <c r="L21" s="741"/>
      <c r="M21" s="741"/>
      <c r="N21" s="741"/>
      <c r="O21" s="741"/>
      <c r="P21" s="741"/>
      <c r="Q21" s="741"/>
      <c r="R21" s="741"/>
      <c r="S21" s="741"/>
      <c r="T21" s="763"/>
      <c r="U21" s="764"/>
      <c r="V21" s="765"/>
      <c r="W21" s="765"/>
      <c r="X21" s="765"/>
      <c r="Y21" s="765"/>
      <c r="Z21" s="765"/>
      <c r="AA21" s="765"/>
      <c r="AB21" s="765"/>
      <c r="AC21" s="766"/>
      <c r="AF21" s="724"/>
      <c r="AG21" s="724"/>
      <c r="AH21" s="724"/>
      <c r="AI21" s="724"/>
      <c r="AJ21" s="724"/>
      <c r="AK21" s="724"/>
      <c r="AL21" s="724"/>
      <c r="AM21" s="724"/>
      <c r="AN21" s="724"/>
      <c r="AO21" s="724"/>
    </row>
    <row r="22" spans="4:55" ht="14.85" customHeight="1" x14ac:dyDescent="0.3">
      <c r="D22" s="840" t="s">
        <v>531</v>
      </c>
      <c r="E22" s="819"/>
      <c r="F22" s="881">
        <f t="shared" ref="F22:P22" si="6">SUM(F24:F26)</f>
        <v>1894.6</v>
      </c>
      <c r="G22" s="745">
        <f t="shared" si="6"/>
        <v>1889.1999999999998</v>
      </c>
      <c r="H22" s="745">
        <f t="shared" si="6"/>
        <v>1883</v>
      </c>
      <c r="I22" s="745">
        <f t="shared" si="6"/>
        <v>1897.5</v>
      </c>
      <c r="J22" s="745">
        <f t="shared" si="6"/>
        <v>1801.6</v>
      </c>
      <c r="K22" s="745">
        <f t="shared" si="6"/>
        <v>1933.3000000000002</v>
      </c>
      <c r="L22" s="745">
        <f t="shared" si="6"/>
        <v>1955.6</v>
      </c>
      <c r="M22" s="745">
        <f t="shared" si="6"/>
        <v>1992.6</v>
      </c>
      <c r="N22" s="745">
        <f t="shared" si="6"/>
        <v>2088.7000000000003</v>
      </c>
      <c r="O22" s="745">
        <f t="shared" si="6"/>
        <v>2060.8000000000002</v>
      </c>
      <c r="P22" s="745">
        <f t="shared" si="6"/>
        <v>2119.9</v>
      </c>
      <c r="Q22" s="745">
        <f>SUM(Q23:Q26)</f>
        <v>2152.4</v>
      </c>
      <c r="R22" s="745">
        <f t="shared" ref="R22:AC22" si="7">SUM(R23:R26)</f>
        <v>2179.5</v>
      </c>
      <c r="S22" s="745">
        <f t="shared" si="7"/>
        <v>2201</v>
      </c>
      <c r="T22" s="796">
        <f t="shared" si="7"/>
        <v>2199.6</v>
      </c>
      <c r="U22" s="755">
        <f>SUM(U24:U26)</f>
        <v>2226.1294937253679</v>
      </c>
      <c r="V22" s="747">
        <f t="shared" si="7"/>
        <v>2250.9709737525445</v>
      </c>
      <c r="W22" s="747">
        <f t="shared" si="7"/>
        <v>2276.4323222605917</v>
      </c>
      <c r="X22" s="747">
        <f t="shared" si="7"/>
        <v>2302.0361619190921</v>
      </c>
      <c r="Y22" s="747">
        <f t="shared" si="7"/>
        <v>2325.7222045243498</v>
      </c>
      <c r="Z22" s="747">
        <f t="shared" si="7"/>
        <v>2348.6593465954388</v>
      </c>
      <c r="AA22" s="747">
        <f t="shared" si="7"/>
        <v>2371.5043954523735</v>
      </c>
      <c r="AB22" s="747">
        <f t="shared" si="7"/>
        <v>2395.3037749815721</v>
      </c>
      <c r="AC22" s="827">
        <f t="shared" si="7"/>
        <v>2419.8446359260029</v>
      </c>
      <c r="AF22" s="724"/>
      <c r="AG22" s="724"/>
      <c r="AH22" s="724"/>
      <c r="AI22" s="724"/>
      <c r="AJ22" s="724"/>
      <c r="AK22" s="724"/>
      <c r="AL22" s="724"/>
      <c r="AM22" s="724"/>
      <c r="AN22" s="724"/>
      <c r="AO22" s="724"/>
    </row>
    <row r="23" spans="4:55" ht="42" customHeight="1" x14ac:dyDescent="0.3">
      <c r="D23" s="834" t="s">
        <v>883</v>
      </c>
      <c r="E23" s="819"/>
      <c r="F23" s="881"/>
      <c r="G23" s="745"/>
      <c r="H23" s="745"/>
      <c r="I23" s="745"/>
      <c r="J23" s="745"/>
      <c r="K23" s="745"/>
      <c r="L23" s="745"/>
      <c r="M23" s="745"/>
      <c r="N23" s="745"/>
      <c r="O23" s="745"/>
      <c r="P23" s="745"/>
      <c r="Q23" s="350"/>
      <c r="R23" s="350"/>
      <c r="S23" s="350"/>
      <c r="T23" s="392"/>
      <c r="U23" s="756">
        <v>0</v>
      </c>
      <c r="V23" s="380"/>
      <c r="W23" s="380"/>
      <c r="X23" s="380"/>
      <c r="Y23" s="380"/>
      <c r="Z23" s="380"/>
      <c r="AA23" s="380"/>
      <c r="AB23" s="380"/>
      <c r="AC23" s="381"/>
      <c r="AF23" s="724"/>
      <c r="AG23" s="724"/>
      <c r="AH23" s="724"/>
      <c r="AI23" s="724"/>
      <c r="AJ23" s="724"/>
      <c r="AK23" s="724"/>
      <c r="AL23" s="724"/>
      <c r="AM23" s="724"/>
      <c r="AN23" s="724"/>
      <c r="AO23" s="724"/>
    </row>
    <row r="24" spans="4:55" x14ac:dyDescent="0.3">
      <c r="D24" s="481" t="s">
        <v>536</v>
      </c>
      <c r="E24" s="49" t="s">
        <v>537</v>
      </c>
      <c r="F24" s="733">
        <f>'Haver Pivoted'!GQ33</f>
        <v>529</v>
      </c>
      <c r="G24" s="734">
        <f>'Haver Pivoted'!GR33</f>
        <v>495.2</v>
      </c>
      <c r="H24" s="734">
        <f>'Haver Pivoted'!GS33</f>
        <v>489.6</v>
      </c>
      <c r="I24" s="734">
        <f>'Haver Pivoted'!GT33</f>
        <v>497.5</v>
      </c>
      <c r="J24" s="734">
        <f>'Haver Pivoted'!GU33</f>
        <v>488</v>
      </c>
      <c r="K24" s="734">
        <f>'Haver Pivoted'!GV33</f>
        <v>515.4</v>
      </c>
      <c r="L24" s="734">
        <f>'Haver Pivoted'!GW33</f>
        <v>522.9</v>
      </c>
      <c r="M24" s="734">
        <f>'Haver Pivoted'!GX33</f>
        <v>543.6</v>
      </c>
      <c r="N24" s="734">
        <f>'Haver Pivoted'!GY33</f>
        <v>566.6</v>
      </c>
      <c r="O24" s="734">
        <f>'Haver Pivoted'!GZ33</f>
        <v>534.4</v>
      </c>
      <c r="P24" s="734">
        <f>'Haver Pivoted'!HA33</f>
        <v>570.79999999999995</v>
      </c>
      <c r="Q24" s="734">
        <f>'Haver Pivoted'!HB33</f>
        <v>581.29999999999995</v>
      </c>
      <c r="R24" s="734">
        <f>'Haver Pivoted'!HC33</f>
        <v>589.79999999999995</v>
      </c>
      <c r="S24" s="734">
        <f>'Haver Pivoted'!HD33</f>
        <v>594.79999999999995</v>
      </c>
      <c r="T24" s="735">
        <f>'Haver Pivoted'!HE33</f>
        <v>582.1</v>
      </c>
      <c r="U24" s="757">
        <f t="shared" ref="U24:AC24" si="8">$T114*U123*(U96/$T96)+U23</f>
        <v>589.36973265003007</v>
      </c>
      <c r="V24" s="748">
        <f t="shared" si="8"/>
        <v>597.16085329765656</v>
      </c>
      <c r="W24" s="748">
        <f t="shared" si="8"/>
        <v>604.46028526400528</v>
      </c>
      <c r="X24" s="748">
        <f t="shared" si="8"/>
        <v>612.21180682320664</v>
      </c>
      <c r="Y24" s="748">
        <f t="shared" si="8"/>
        <v>618.89415299493203</v>
      </c>
      <c r="Z24" s="748">
        <f t="shared" si="8"/>
        <v>625.20690767469023</v>
      </c>
      <c r="AA24" s="748">
        <f t="shared" si="8"/>
        <v>631.54606174673199</v>
      </c>
      <c r="AB24" s="748">
        <f t="shared" si="8"/>
        <v>637.9776136917651</v>
      </c>
      <c r="AC24" s="758">
        <f t="shared" si="8"/>
        <v>644.62696062313637</v>
      </c>
      <c r="AF24" s="724"/>
      <c r="AG24" s="724"/>
      <c r="AH24" s="724"/>
      <c r="AI24" s="724"/>
      <c r="AJ24" s="724"/>
      <c r="AK24" s="724"/>
      <c r="AL24" s="724"/>
      <c r="AM24" s="724"/>
      <c r="AN24" s="724"/>
      <c r="AO24" s="724"/>
    </row>
    <row r="25" spans="4:55" x14ac:dyDescent="0.3">
      <c r="D25" s="481" t="s">
        <v>533</v>
      </c>
      <c r="E25" s="49" t="s">
        <v>538</v>
      </c>
      <c r="F25" s="733">
        <f>'Haver Pivoted'!GQ36</f>
        <v>20.8</v>
      </c>
      <c r="G25" s="734">
        <f>'Haver Pivoted'!GR36</f>
        <v>20.7</v>
      </c>
      <c r="H25" s="734">
        <f>'Haver Pivoted'!GS36</f>
        <v>20.7</v>
      </c>
      <c r="I25" s="734">
        <f>'Haver Pivoted'!GT36</f>
        <v>20.7</v>
      </c>
      <c r="J25" s="734">
        <f>'Haver Pivoted'!GU36</f>
        <v>19.8</v>
      </c>
      <c r="K25" s="734">
        <f>'Haver Pivoted'!GV36</f>
        <v>20.5</v>
      </c>
      <c r="L25" s="734">
        <f>'Haver Pivoted'!GW36</f>
        <v>21.3</v>
      </c>
      <c r="M25" s="734">
        <f>'Haver Pivoted'!GX36</f>
        <v>22</v>
      </c>
      <c r="N25" s="734">
        <f>'Haver Pivoted'!GY36</f>
        <v>22.7</v>
      </c>
      <c r="O25" s="734">
        <f>'Haver Pivoted'!GZ36</f>
        <v>23.2</v>
      </c>
      <c r="P25" s="734">
        <f>'Haver Pivoted'!HA36</f>
        <v>23.4</v>
      </c>
      <c r="Q25" s="734">
        <f>'Haver Pivoted'!HB36</f>
        <v>23.4</v>
      </c>
      <c r="R25" s="734">
        <f>'Haver Pivoted'!HC36</f>
        <v>23.6</v>
      </c>
      <c r="S25" s="743">
        <f>'Haver Pivoted'!HD36</f>
        <v>23.9</v>
      </c>
      <c r="T25" s="806">
        <f>'Haver Pivoted'!HE36</f>
        <v>24.5</v>
      </c>
      <c r="U25" s="759">
        <f t="shared" ref="U25:AC25" si="9">$T115*U124*(U97/$T97)</f>
        <v>24.769872497042456</v>
      </c>
      <c r="V25" s="749">
        <f t="shared" si="9"/>
        <v>25.007755334530955</v>
      </c>
      <c r="W25" s="749">
        <f t="shared" si="9"/>
        <v>25.277413135871711</v>
      </c>
      <c r="X25" s="749">
        <f t="shared" si="9"/>
        <v>25.585501467817551</v>
      </c>
      <c r="Y25" s="749">
        <f t="shared" si="9"/>
        <v>25.892731016956578</v>
      </c>
      <c r="Z25" s="749">
        <f t="shared" si="9"/>
        <v>26.195451956359815</v>
      </c>
      <c r="AA25" s="749">
        <f t="shared" si="9"/>
        <v>26.504613766814181</v>
      </c>
      <c r="AB25" s="749">
        <f t="shared" si="9"/>
        <v>26.827945493581034</v>
      </c>
      <c r="AC25" s="760">
        <f t="shared" si="9"/>
        <v>27.166305919467202</v>
      </c>
      <c r="AF25" s="724"/>
      <c r="AG25" s="724"/>
      <c r="AH25" s="724"/>
      <c r="AI25" s="724"/>
      <c r="AJ25" s="724"/>
      <c r="AK25" s="724"/>
      <c r="AL25" s="724"/>
      <c r="AM25" s="724"/>
      <c r="AN25" s="724"/>
      <c r="AO25" s="724"/>
    </row>
    <row r="26" spans="4:55" x14ac:dyDescent="0.3">
      <c r="D26" s="481" t="s">
        <v>534</v>
      </c>
      <c r="E26" s="49" t="s">
        <v>539</v>
      </c>
      <c r="F26" s="733">
        <f>'Haver Pivoted'!GQ34</f>
        <v>1344.8</v>
      </c>
      <c r="G26" s="734">
        <f>'Haver Pivoted'!GR34</f>
        <v>1373.3</v>
      </c>
      <c r="H26" s="734">
        <f>'Haver Pivoted'!GS34</f>
        <v>1372.7</v>
      </c>
      <c r="I26" s="734">
        <f>'Haver Pivoted'!GT34</f>
        <v>1379.3</v>
      </c>
      <c r="J26" s="734">
        <f>'Haver Pivoted'!GU34</f>
        <v>1293.8</v>
      </c>
      <c r="K26" s="734">
        <f>'Haver Pivoted'!GV34</f>
        <v>1397.4</v>
      </c>
      <c r="L26" s="734">
        <f>'Haver Pivoted'!GW34</f>
        <v>1411.4</v>
      </c>
      <c r="M26" s="734">
        <f>'Haver Pivoted'!GX34</f>
        <v>1427</v>
      </c>
      <c r="N26" s="734">
        <f>'Haver Pivoted'!GY34</f>
        <v>1499.4</v>
      </c>
      <c r="O26" s="734">
        <f>'Haver Pivoted'!GZ34</f>
        <v>1503.2</v>
      </c>
      <c r="P26" s="734">
        <f>'Haver Pivoted'!HA34</f>
        <v>1525.7</v>
      </c>
      <c r="Q26" s="734">
        <f>'Haver Pivoted'!HB34</f>
        <v>1547.7</v>
      </c>
      <c r="R26" s="734">
        <f>'Haver Pivoted'!HC34</f>
        <v>1566.1</v>
      </c>
      <c r="S26" s="734">
        <f>'Haver Pivoted'!HD34</f>
        <v>1582.3</v>
      </c>
      <c r="T26" s="735">
        <f>'Haver Pivoted'!HE34</f>
        <v>1593</v>
      </c>
      <c r="U26" s="757">
        <f t="shared" ref="U26:AC26" si="10">$T120*U125*(U99/$T99)</f>
        <v>1611.9898885782952</v>
      </c>
      <c r="V26" s="748">
        <f t="shared" si="10"/>
        <v>1628.8023651203569</v>
      </c>
      <c r="W26" s="748">
        <f t="shared" si="10"/>
        <v>1646.6946238607147</v>
      </c>
      <c r="X26" s="748">
        <f t="shared" si="10"/>
        <v>1664.238853628068</v>
      </c>
      <c r="Y26" s="748">
        <f t="shared" si="10"/>
        <v>1680.9353205124614</v>
      </c>
      <c r="Z26" s="748">
        <f t="shared" si="10"/>
        <v>1697.2569869643889</v>
      </c>
      <c r="AA26" s="748">
        <f t="shared" si="10"/>
        <v>1713.4537199388274</v>
      </c>
      <c r="AB26" s="748">
        <f t="shared" si="10"/>
        <v>1730.4982157962258</v>
      </c>
      <c r="AC26" s="758">
        <f t="shared" si="10"/>
        <v>1748.0513693833993</v>
      </c>
      <c r="AF26" s="724"/>
      <c r="AG26" s="724"/>
      <c r="AH26" s="724"/>
      <c r="AI26" s="724"/>
      <c r="AJ26" s="724"/>
      <c r="AK26" s="724"/>
      <c r="AL26" s="724"/>
      <c r="AM26" s="724"/>
      <c r="AN26" s="724"/>
      <c r="AO26" s="724"/>
    </row>
    <row r="27" spans="4:55" ht="14.85" customHeight="1" x14ac:dyDescent="0.3">
      <c r="D27" s="843" t="s">
        <v>535</v>
      </c>
      <c r="E27" s="861" t="s">
        <v>540</v>
      </c>
      <c r="F27" s="882">
        <f>'Haver Pivoted'!GQ35</f>
        <v>74.5</v>
      </c>
      <c r="G27" s="810">
        <f>'Haver Pivoted'!GR35</f>
        <v>73.400000000000006</v>
      </c>
      <c r="H27" s="810">
        <f>'Haver Pivoted'!GS35</f>
        <v>72.099999999999994</v>
      </c>
      <c r="I27" s="810">
        <f>'Haver Pivoted'!GT35</f>
        <v>67.7</v>
      </c>
      <c r="J27" s="810">
        <f>'Haver Pivoted'!GU35</f>
        <v>65</v>
      </c>
      <c r="K27" s="810">
        <f>'Haver Pivoted'!GV35</f>
        <v>80.900000000000006</v>
      </c>
      <c r="L27" s="810">
        <f>'Haver Pivoted'!GW35</f>
        <v>84.8</v>
      </c>
      <c r="M27" s="810">
        <f>'Haver Pivoted'!GX35</f>
        <v>88</v>
      </c>
      <c r="N27" s="810">
        <f>'Haver Pivoted'!GY35</f>
        <v>90.3</v>
      </c>
      <c r="O27" s="810">
        <f>'Haver Pivoted'!GZ35</f>
        <v>94.4</v>
      </c>
      <c r="P27" s="810">
        <f>'Haver Pivoted'!HA35</f>
        <v>110.5</v>
      </c>
      <c r="Q27" s="810">
        <f>'Haver Pivoted'!HB35</f>
        <v>165.9</v>
      </c>
      <c r="R27" s="810">
        <f>'Haver Pivoted'!HC35</f>
        <v>109.8</v>
      </c>
      <c r="S27" s="805">
        <f>'Haver Pivoted'!HD35</f>
        <v>100.7</v>
      </c>
      <c r="T27" s="787">
        <f t="shared" ref="T27:AC27" si="11">$S121*T126*(T100/$S100)</f>
        <v>95.360546952748706</v>
      </c>
      <c r="U27" s="761">
        <f t="shared" si="11"/>
        <v>88.958815333784486</v>
      </c>
      <c r="V27" s="820">
        <f t="shared" si="11"/>
        <v>83.91599856693604</v>
      </c>
      <c r="W27" s="820">
        <f t="shared" si="11"/>
        <v>81.073902312806027</v>
      </c>
      <c r="X27" s="820">
        <f t="shared" si="11"/>
        <v>78.997448349986072</v>
      </c>
      <c r="Y27" s="820">
        <f t="shared" si="11"/>
        <v>79.891365789578444</v>
      </c>
      <c r="Z27" s="820">
        <f t="shared" si="11"/>
        <v>81.322435412602999</v>
      </c>
      <c r="AA27" s="820">
        <f t="shared" si="11"/>
        <v>83.346777596433256</v>
      </c>
      <c r="AB27" s="820">
        <f t="shared" si="11"/>
        <v>86.228959834401508</v>
      </c>
      <c r="AC27" s="787">
        <f t="shared" si="11"/>
        <v>89.010927112774183</v>
      </c>
      <c r="AF27" s="724"/>
      <c r="AG27" s="724"/>
      <c r="AH27" s="724"/>
      <c r="AI27" s="724"/>
      <c r="AJ27" s="724"/>
      <c r="AK27" s="724"/>
      <c r="AL27" s="724"/>
      <c r="AM27" s="724"/>
      <c r="AN27" s="724"/>
      <c r="AO27" s="724"/>
    </row>
    <row r="28" spans="4:55" ht="14.85" customHeight="1" x14ac:dyDescent="0.3">
      <c r="D28" s="825"/>
      <c r="E28" s="819"/>
    </row>
    <row r="29" spans="4:55" ht="14.85" customHeight="1" x14ac:dyDescent="0.3">
      <c r="D29" s="825"/>
      <c r="E29" s="819"/>
      <c r="T29" s="1509">
        <v>4528.8</v>
      </c>
      <c r="U29" s="1509">
        <v>4467.3739968285072</v>
      </c>
      <c r="V29" s="1509">
        <v>4457.4043214546246</v>
      </c>
      <c r="W29" s="1509">
        <v>4447.8895270730181</v>
      </c>
      <c r="X29" s="1509">
        <v>4460.0815040789694</v>
      </c>
      <c r="Y29" s="1509">
        <v>4467.5864561878179</v>
      </c>
      <c r="Z29" s="1509">
        <v>4475.4065403252825</v>
      </c>
      <c r="AA29" s="1509">
        <v>4483.5439444895819</v>
      </c>
      <c r="AB29" s="1509">
        <v>4513.5325415378738</v>
      </c>
      <c r="AC29" s="1509">
        <v>4543.7701819739486</v>
      </c>
    </row>
    <row r="30" spans="4:55" ht="14.85" customHeight="1" x14ac:dyDescent="0.3">
      <c r="D30" s="825"/>
      <c r="E30" s="819"/>
      <c r="T30" s="1508">
        <v>2654.8</v>
      </c>
      <c r="U30" s="1509">
        <v>2576.2528755408598</v>
      </c>
      <c r="V30" s="1509">
        <v>2548.9966296718635</v>
      </c>
      <c r="W30" s="1509">
        <v>2522.0281909161922</v>
      </c>
      <c r="X30" s="1509">
        <v>2512.964184451414</v>
      </c>
      <c r="Y30" s="1509">
        <v>2498.9784502744369</v>
      </c>
      <c r="Z30" s="1509">
        <v>2485.0705527660757</v>
      </c>
      <c r="AA30" s="1509">
        <v>2471.2400587315551</v>
      </c>
      <c r="AB30" s="1509">
        <v>2482.1673749766228</v>
      </c>
      <c r="AC30" s="1509">
        <v>2493.1430095709734</v>
      </c>
    </row>
    <row r="31" spans="4:55" ht="14.85" customHeight="1" x14ac:dyDescent="0.3">
      <c r="D31" s="825"/>
      <c r="E31" s="819"/>
      <c r="T31" s="1509">
        <v>2608.8000000000002</v>
      </c>
      <c r="U31" s="1509">
        <v>2581.2528755408598</v>
      </c>
      <c r="V31" s="1509">
        <v>2553.9966296718635</v>
      </c>
      <c r="W31" s="1509">
        <v>2527.0281909161922</v>
      </c>
      <c r="X31" s="1509">
        <v>2512.964184451414</v>
      </c>
      <c r="Y31" s="1509">
        <v>2498.9784502744369</v>
      </c>
      <c r="Z31" s="1509">
        <v>2485.0705527660757</v>
      </c>
      <c r="AA31" s="1509">
        <v>2471.2400587315551</v>
      </c>
      <c r="AB31" s="1509">
        <v>2482.1673749766228</v>
      </c>
      <c r="AC31" s="1509">
        <v>2493.1430095709734</v>
      </c>
    </row>
    <row r="32" spans="4:55" ht="14.85" customHeight="1" x14ac:dyDescent="0.3">
      <c r="D32" s="825"/>
      <c r="E32" s="819"/>
      <c r="F32" s="745"/>
      <c r="G32" s="745"/>
      <c r="H32" s="745"/>
      <c r="I32" s="745"/>
      <c r="J32" s="745"/>
      <c r="K32" s="745"/>
      <c r="L32" s="745"/>
      <c r="M32" s="745"/>
      <c r="N32" s="745"/>
      <c r="O32" s="745"/>
      <c r="P32" s="745"/>
      <c r="T32" s="1509">
        <v>46</v>
      </c>
      <c r="U32" s="1509">
        <v>-5</v>
      </c>
      <c r="V32" s="1509">
        <v>-5</v>
      </c>
      <c r="W32" s="1509">
        <v>-5</v>
      </c>
      <c r="X32" s="1509"/>
      <c r="Y32" s="1509"/>
      <c r="Z32" s="1509"/>
      <c r="AA32" s="1509"/>
      <c r="AB32" s="725"/>
      <c r="AC32" s="725"/>
    </row>
    <row r="33" spans="3:40" ht="14.85" customHeight="1" x14ac:dyDescent="0.3">
      <c r="D33" s="825"/>
      <c r="E33" s="819"/>
      <c r="F33" s="745"/>
      <c r="G33" s="745"/>
      <c r="H33" s="745"/>
      <c r="I33" s="745"/>
      <c r="J33" s="745"/>
      <c r="K33" s="745"/>
      <c r="L33" s="745"/>
      <c r="M33" s="745"/>
      <c r="N33" s="745"/>
      <c r="O33" s="745"/>
      <c r="P33" s="745"/>
      <c r="T33" s="1508">
        <v>1681.5</v>
      </c>
      <c r="U33" s="1509">
        <v>1698.1111830457512</v>
      </c>
      <c r="V33" s="1509">
        <v>1714.8864644573539</v>
      </c>
      <c r="W33" s="1509">
        <v>1731.8274653278754</v>
      </c>
      <c r="X33" s="1509">
        <v>1751.0724665349633</v>
      </c>
      <c r="Y33" s="1509">
        <v>1770.5313285791588</v>
      </c>
      <c r="Z33" s="1509">
        <v>1790.2064279974729</v>
      </c>
      <c r="AA33" s="1509">
        <v>1810.1001677362783</v>
      </c>
      <c r="AB33" s="1511">
        <v>1829.1614485395021</v>
      </c>
      <c r="AC33" s="1512">
        <v>1848.4234543812267</v>
      </c>
    </row>
    <row r="34" spans="3:40" ht="14.85" customHeight="1" x14ac:dyDescent="0.3">
      <c r="D34" s="825"/>
      <c r="E34" s="819"/>
      <c r="F34" s="850"/>
      <c r="G34" s="850"/>
      <c r="H34" s="745"/>
      <c r="I34" s="745"/>
      <c r="J34" s="745"/>
      <c r="K34" s="745"/>
      <c r="L34" s="745"/>
      <c r="T34" s="1509"/>
      <c r="U34" s="1509"/>
      <c r="V34" s="1509"/>
      <c r="W34" s="1509"/>
      <c r="X34" s="1509"/>
      <c r="Y34" s="1509"/>
      <c r="Z34" s="1509"/>
      <c r="AA34" s="1509"/>
      <c r="AB34" s="1509"/>
      <c r="AC34" s="1509"/>
      <c r="AD34" s="461"/>
      <c r="AE34" s="461"/>
      <c r="AF34" s="461"/>
      <c r="AG34" s="461"/>
      <c r="AH34" s="461"/>
      <c r="AI34" s="461"/>
      <c r="AJ34" s="461"/>
      <c r="AK34" s="461"/>
      <c r="AL34" s="232"/>
      <c r="AM34" s="232"/>
      <c r="AN34" s="232"/>
    </row>
    <row r="35" spans="3:40" ht="14.85" customHeight="1" x14ac:dyDescent="0.3">
      <c r="D35" s="491"/>
      <c r="E35" s="180"/>
      <c r="F35" s="180"/>
      <c r="G35" s="180"/>
      <c r="H35" s="180"/>
      <c r="I35" s="180"/>
      <c r="J35" s="180"/>
      <c r="K35" s="180"/>
      <c r="L35" s="180"/>
      <c r="T35" s="1508">
        <v>192.5</v>
      </c>
      <c r="U35" s="1509">
        <v>193.00993824189698</v>
      </c>
      <c r="V35" s="1509">
        <v>193.52122732540718</v>
      </c>
      <c r="W35" s="1509">
        <v>194.03387082895034</v>
      </c>
      <c r="X35" s="1509">
        <v>196.04485309259218</v>
      </c>
      <c r="Y35" s="1509">
        <v>198.0766773342217</v>
      </c>
      <c r="Z35" s="1509">
        <v>200.12955956173431</v>
      </c>
      <c r="AA35" s="1509">
        <v>202.20371802174816</v>
      </c>
      <c r="AB35" s="1509">
        <v>202.20371802174816</v>
      </c>
      <c r="AC35" s="1509">
        <v>202.20371802174816</v>
      </c>
      <c r="AD35" s="232"/>
      <c r="AE35" s="232"/>
      <c r="AF35" s="232"/>
      <c r="AG35" s="232"/>
      <c r="AH35" s="232"/>
      <c r="AI35" s="232"/>
      <c r="AJ35" s="232"/>
      <c r="AK35" s="232"/>
      <c r="AL35" s="232"/>
      <c r="AM35" s="232"/>
      <c r="AN35" s="232"/>
    </row>
    <row r="36" spans="3:40" ht="14.85" customHeight="1" x14ac:dyDescent="0.3">
      <c r="D36" s="1394" t="s">
        <v>992</v>
      </c>
      <c r="E36" s="1395"/>
      <c r="F36" s="1396"/>
      <c r="G36" s="401">
        <v>2020</v>
      </c>
      <c r="H36" s="401">
        <v>2021</v>
      </c>
      <c r="I36" s="400">
        <v>2022</v>
      </c>
      <c r="J36" s="863">
        <v>2023</v>
      </c>
      <c r="K36" s="863">
        <v>2024</v>
      </c>
      <c r="L36" s="864">
        <v>2025</v>
      </c>
      <c r="T36" s="1509"/>
      <c r="U36" s="1509">
        <v>193.00993824189698</v>
      </c>
      <c r="V36" s="1509">
        <v>193.52122732540718</v>
      </c>
      <c r="W36" s="1509">
        <v>194.03387082895034</v>
      </c>
      <c r="X36" s="1509">
        <v>196.04485309259218</v>
      </c>
      <c r="Y36" s="1509">
        <v>198.0766773342217</v>
      </c>
      <c r="Z36" s="1509">
        <v>200.12955956173431</v>
      </c>
      <c r="AA36" s="1509">
        <v>202.20371802174816</v>
      </c>
      <c r="AB36" s="1509">
        <v>202.20371802174816</v>
      </c>
      <c r="AC36" s="1509">
        <v>202.20371802174816</v>
      </c>
      <c r="AD36" s="232"/>
      <c r="AE36" s="232"/>
      <c r="AF36" s="232"/>
      <c r="AG36" s="232"/>
      <c r="AH36" s="232"/>
      <c r="AI36" s="232"/>
      <c r="AJ36" s="232"/>
      <c r="AK36" s="232"/>
      <c r="AL36" s="232"/>
      <c r="AM36" s="232"/>
      <c r="AN36" s="232"/>
    </row>
    <row r="37" spans="3:40" ht="14.85" customHeight="1" x14ac:dyDescent="0.3">
      <c r="D37" s="833" t="s">
        <v>541</v>
      </c>
      <c r="E37" s="793"/>
      <c r="F37" s="653"/>
      <c r="G37" s="832">
        <f>AVERAGE(H10:K10)</f>
        <v>1702.5749999999998</v>
      </c>
      <c r="H37" s="214">
        <f>AVERAGE(L10:O10)</f>
        <v>2008.4750000000001</v>
      </c>
      <c r="I37" s="214">
        <f>AVERAGE(P10:S10)</f>
        <v>2509.8999999999996</v>
      </c>
      <c r="J37" s="214">
        <f t="shared" ref="J37:L39" si="12">I37*J50/I50</f>
        <v>2405.556083764382</v>
      </c>
      <c r="K37" s="214">
        <f t="shared" si="12"/>
        <v>2352.4496398944584</v>
      </c>
      <c r="L37" s="279">
        <f t="shared" si="12"/>
        <v>2394.3346262838863</v>
      </c>
      <c r="M37" t="s">
        <v>975</v>
      </c>
      <c r="T37" s="1509"/>
      <c r="U37" s="1509">
        <v>0</v>
      </c>
      <c r="V37" s="1509">
        <v>0</v>
      </c>
      <c r="W37" s="1509">
        <v>0</v>
      </c>
      <c r="X37" s="1509">
        <v>0</v>
      </c>
      <c r="Y37" s="1509">
        <v>0</v>
      </c>
      <c r="Z37" s="1509">
        <v>0</v>
      </c>
      <c r="AA37" s="1509">
        <v>0</v>
      </c>
      <c r="AB37" s="1509">
        <v>0</v>
      </c>
      <c r="AC37" s="1509">
        <v>0</v>
      </c>
      <c r="AD37" s="232"/>
      <c r="AE37" s="232"/>
    </row>
    <row r="38" spans="3:40" ht="14.85" customHeight="1" x14ac:dyDescent="0.3">
      <c r="D38" s="767" t="s">
        <v>547</v>
      </c>
      <c r="E38" s="209"/>
      <c r="F38" s="542"/>
      <c r="G38" s="832">
        <f>AVERAGE(H13:K13)</f>
        <v>1425.3999999999999</v>
      </c>
      <c r="H38" s="214">
        <f>AVERAGE(L13:O13)</f>
        <v>1495.1000000000001</v>
      </c>
      <c r="I38" s="214">
        <f>AVERAGE(P13:S13)</f>
        <v>1627.425</v>
      </c>
      <c r="J38" s="214">
        <f t="shared" si="12"/>
        <v>1713.8486935180104</v>
      </c>
      <c r="K38" s="214">
        <f t="shared" si="12"/>
        <v>1791.3088166806649</v>
      </c>
      <c r="L38" s="279">
        <f t="shared" si="12"/>
        <v>1867.9626463405427</v>
      </c>
      <c r="T38" s="1509">
        <v>350.30119606059549</v>
      </c>
      <c r="U38" s="1509">
        <v>360.27870804898345</v>
      </c>
      <c r="V38" s="1509">
        <v>370.54040617946271</v>
      </c>
      <c r="W38" s="1509">
        <v>381.09438483101775</v>
      </c>
      <c r="X38" s="1509">
        <v>381.72153892635089</v>
      </c>
      <c r="Y38" s="1509">
        <v>382.34972510789402</v>
      </c>
      <c r="Z38" s="1509">
        <v>382.97894507411644</v>
      </c>
      <c r="AA38" s="1509">
        <v>383.60920052628245</v>
      </c>
      <c r="AB38" s="1509">
        <v>385.61244152866738</v>
      </c>
      <c r="AC38" s="1509">
        <v>400.52681927840081</v>
      </c>
      <c r="AD38" s="232"/>
      <c r="AE38" s="232"/>
    </row>
    <row r="39" spans="3:40" ht="14.85" customHeight="1" x14ac:dyDescent="0.3">
      <c r="D39" s="767" t="s">
        <v>105</v>
      </c>
      <c r="E39" s="209"/>
      <c r="F39" s="542"/>
      <c r="G39" s="832">
        <f>AVERAGE(H15:K15)</f>
        <v>161.30000000000001</v>
      </c>
      <c r="H39" s="214">
        <f>AVERAGE(L15:O15)</f>
        <v>166.42500000000001</v>
      </c>
      <c r="I39" s="214">
        <f>AVERAGE(P15:S15)</f>
        <v>200.55</v>
      </c>
      <c r="J39" s="214">
        <f t="shared" si="12"/>
        <v>202.68351063829786</v>
      </c>
      <c r="K39" s="214">
        <f t="shared" si="12"/>
        <v>211.21755319148934</v>
      </c>
      <c r="L39" s="279">
        <f t="shared" si="12"/>
        <v>211.21755319148934</v>
      </c>
      <c r="T39" s="1509">
        <v>350.30119606059549</v>
      </c>
      <c r="U39" s="1509">
        <v>360.27870804898345</v>
      </c>
      <c r="V39" s="1509">
        <v>370.54040617946271</v>
      </c>
      <c r="W39" s="1509">
        <v>381.09438483101775</v>
      </c>
      <c r="X39" s="1509">
        <v>381.72153892635089</v>
      </c>
      <c r="Y39" s="1509">
        <v>382.34972510789402</v>
      </c>
      <c r="Z39" s="1509">
        <v>382.97894507411644</v>
      </c>
      <c r="AA39" s="1509">
        <v>383.60920052628245</v>
      </c>
      <c r="AB39" s="1509">
        <v>385.61244152866738</v>
      </c>
      <c r="AC39" s="1509">
        <v>400.52681927840081</v>
      </c>
      <c r="AD39" s="232"/>
      <c r="AE39" s="232"/>
    </row>
    <row r="40" spans="3:40" ht="14.85" customHeight="1" x14ac:dyDescent="0.3">
      <c r="D40" s="767" t="s">
        <v>303</v>
      </c>
      <c r="E40" s="209"/>
      <c r="F40" s="542"/>
      <c r="G40" s="832">
        <f>AVERAGE(H18:K18)</f>
        <v>201.37499999999997</v>
      </c>
      <c r="H40" s="214">
        <f>AVERAGE(L18:O18)</f>
        <v>258.97500000000002</v>
      </c>
      <c r="I40" s="214">
        <f>AVERAGE(P18:S18)</f>
        <v>328.1</v>
      </c>
      <c r="J40" s="214">
        <f>I40*J55/I55</f>
        <v>367.10824328554583</v>
      </c>
      <c r="K40" s="214">
        <f>J40*K55/J55</f>
        <v>369.53076539246399</v>
      </c>
      <c r="L40" s="279">
        <f>K40*L55/K55</f>
        <v>377.3103279379194</v>
      </c>
      <c r="T40" s="1509">
        <v>0</v>
      </c>
      <c r="U40" s="1509">
        <v>0</v>
      </c>
      <c r="V40" s="1509">
        <v>0</v>
      </c>
      <c r="W40" s="1509">
        <v>0</v>
      </c>
      <c r="X40" s="1509">
        <v>0</v>
      </c>
      <c r="Y40" s="1509">
        <v>0</v>
      </c>
      <c r="Z40" s="1509">
        <v>0</v>
      </c>
      <c r="AA40" s="1509">
        <v>0</v>
      </c>
      <c r="AB40" s="1509">
        <v>0</v>
      </c>
      <c r="AC40" s="1509">
        <v>0</v>
      </c>
      <c r="AD40" s="232"/>
      <c r="AE40" s="232"/>
    </row>
    <row r="41" spans="3:40" ht="14.85" customHeight="1" x14ac:dyDescent="0.3">
      <c r="C41" s="35"/>
      <c r="D41" s="767" t="s">
        <v>988</v>
      </c>
      <c r="E41" s="35"/>
      <c r="F41" s="610"/>
      <c r="G41" s="213"/>
      <c r="H41" s="768">
        <f>H37/G37-1+0.021</f>
        <v>0.20066903073286077</v>
      </c>
      <c r="I41" s="768">
        <f>I37/H37-1.05</f>
        <v>0.19965458868046615</v>
      </c>
      <c r="J41" s="768">
        <f>J37/I37-1</f>
        <v>-4.1572937661109033E-2</v>
      </c>
      <c r="K41" s="768">
        <f>K37/J37-1</f>
        <v>-2.2076576899765721E-2</v>
      </c>
      <c r="L41" s="769">
        <f>L37/K37-1</f>
        <v>1.7804838700524517E-2</v>
      </c>
      <c r="M41" t="s">
        <v>974</v>
      </c>
      <c r="T41" s="1508"/>
      <c r="U41" s="1508"/>
      <c r="V41" s="1508"/>
      <c r="W41" s="1508"/>
      <c r="X41" s="1508"/>
      <c r="Y41" s="1508"/>
      <c r="Z41" s="1508"/>
      <c r="AA41" s="1508"/>
      <c r="AB41" s="1508"/>
      <c r="AC41" s="1508"/>
      <c r="AD41" s="232"/>
      <c r="AE41" s="232"/>
    </row>
    <row r="42" spans="3:40" ht="14.85" customHeight="1" x14ac:dyDescent="0.3">
      <c r="C42" s="35"/>
      <c r="D42" s="767" t="s">
        <v>989</v>
      </c>
      <c r="E42" s="35"/>
      <c r="F42" s="610"/>
      <c r="G42" s="213"/>
      <c r="H42" s="768">
        <f>H38/G38-1.03</f>
        <v>1.8898554791637601E-2</v>
      </c>
      <c r="I42" s="768">
        <f>I38/H38-1.013</f>
        <v>7.5505785566182926E-2</v>
      </c>
      <c r="J42" s="770">
        <f>J38/I38-1-0.013</f>
        <v>4.0104563047765787E-2</v>
      </c>
      <c r="K42" s="768">
        <f t="shared" ref="K42" si="13">K38/J38-1</f>
        <v>4.5196593757441006E-2</v>
      </c>
      <c r="L42" s="769">
        <f>L38/K38-1</f>
        <v>4.2792079705116892E-2</v>
      </c>
      <c r="M42" t="s">
        <v>976</v>
      </c>
      <c r="T42" s="1508">
        <v>2205.8000000000002</v>
      </c>
      <c r="U42" s="1508">
        <v>2232.4070379024242</v>
      </c>
      <c r="V42" s="1508">
        <v>2257.3320679704652</v>
      </c>
      <c r="W42" s="1508">
        <v>2282.8714249965174</v>
      </c>
      <c r="X42" s="1508">
        <v>2308.5582874457068</v>
      </c>
      <c r="Y42" s="1508">
        <v>2332.3157040423512</v>
      </c>
      <c r="Z42" s="1508">
        <v>2355.3202036226157</v>
      </c>
      <c r="AA42" s="1508">
        <v>2378.2329159267574</v>
      </c>
      <c r="AB42" s="1508">
        <v>2402.1008683516784</v>
      </c>
      <c r="AC42" s="1508">
        <v>2426.7126329151943</v>
      </c>
      <c r="AD42" s="232"/>
      <c r="AE42" s="232"/>
    </row>
    <row r="43" spans="3:40" ht="14.85" customHeight="1" x14ac:dyDescent="0.3">
      <c r="C43" s="35"/>
      <c r="D43" s="767" t="s">
        <v>990</v>
      </c>
      <c r="E43" s="35"/>
      <c r="F43" s="610"/>
      <c r="G43" s="213"/>
      <c r="H43" s="768">
        <f t="shared" ref="H43:H44" si="14">H39/G39-1</f>
        <v>3.1773093614383185E-2</v>
      </c>
      <c r="I43" s="768">
        <f>I39/H39-1.01</f>
        <v>0.19504731861198743</v>
      </c>
      <c r="J43" s="768">
        <f>J39/I39-1</f>
        <v>1.0638297872340274E-2</v>
      </c>
      <c r="K43" s="768">
        <f t="shared" ref="K43" si="15">K39/J39-1</f>
        <v>4.2105263157894646E-2</v>
      </c>
      <c r="L43" s="769">
        <f>L39/K39-1</f>
        <v>0</v>
      </c>
      <c r="T43" s="1508"/>
      <c r="U43" s="1508">
        <v>0</v>
      </c>
      <c r="V43" s="1508"/>
      <c r="W43" s="1508"/>
      <c r="X43" s="1508"/>
      <c r="Y43" s="1508"/>
      <c r="Z43" s="1508"/>
      <c r="AA43" s="1508"/>
      <c r="AB43" s="1508"/>
      <c r="AC43" s="1508"/>
      <c r="AD43" s="232"/>
      <c r="AE43" s="232"/>
    </row>
    <row r="44" spans="3:40" ht="14.85" customHeight="1" x14ac:dyDescent="0.3">
      <c r="C44" s="35"/>
      <c r="D44" s="771" t="s">
        <v>991</v>
      </c>
      <c r="E44" s="36"/>
      <c r="F44" s="398"/>
      <c r="G44" s="264"/>
      <c r="H44" s="772">
        <f t="shared" si="14"/>
        <v>0.28603351955307299</v>
      </c>
      <c r="I44" s="772">
        <f>I40/H40-1.103</f>
        <v>0.16391765614441556</v>
      </c>
      <c r="J44" s="772">
        <f>J40/I40-1</f>
        <v>0.11889132363775001</v>
      </c>
      <c r="K44" s="772">
        <f>K40/J40-1</f>
        <v>6.5989313812109263E-3</v>
      </c>
      <c r="L44" s="773">
        <f>L40/K40-1</f>
        <v>2.1052543587793071E-2</v>
      </c>
      <c r="T44" s="1508">
        <v>588.5</v>
      </c>
      <c r="U44" s="1508">
        <v>595.84966099388885</v>
      </c>
      <c r="V44" s="1508">
        <v>603.7264424766721</v>
      </c>
      <c r="W44" s="1508">
        <v>611.1061293211942</v>
      </c>
      <c r="X44" s="1508">
        <v>618.94287633646638</v>
      </c>
      <c r="Y44" s="1508">
        <v>625.69869272894255</v>
      </c>
      <c r="Z44" s="1508">
        <v>632.08085409131627</v>
      </c>
      <c r="AA44" s="1508">
        <v>638.48970509869741</v>
      </c>
      <c r="AB44" s="1508">
        <v>644.9919698636038</v>
      </c>
      <c r="AC44" s="1508">
        <v>651.71442419982088</v>
      </c>
      <c r="AD44" s="232"/>
      <c r="AE44" s="232"/>
    </row>
    <row r="45" spans="3:40" ht="14.85" customHeight="1" x14ac:dyDescent="0.3">
      <c r="D45" s="825"/>
      <c r="E45" s="819"/>
      <c r="F45" s="850"/>
      <c r="G45" s="850"/>
      <c r="H45" s="745"/>
      <c r="I45" s="745"/>
      <c r="J45" s="745"/>
      <c r="K45" s="745"/>
      <c r="L45" s="745"/>
      <c r="T45" s="1508">
        <v>24.5</v>
      </c>
      <c r="U45" s="1508">
        <v>24.769872497042456</v>
      </c>
      <c r="V45" s="1508">
        <v>25.007755334530955</v>
      </c>
      <c r="W45" s="1508">
        <v>25.277413135871711</v>
      </c>
      <c r="X45" s="1508">
        <v>25.585501467817551</v>
      </c>
      <c r="Y45" s="1508">
        <v>25.892731016956578</v>
      </c>
      <c r="Z45" s="1508">
        <v>26.195451956359815</v>
      </c>
      <c r="AA45" s="1508">
        <v>26.504613766814181</v>
      </c>
      <c r="AB45" s="1508">
        <v>26.827945493581034</v>
      </c>
      <c r="AC45" s="1508">
        <v>27.166305919467202</v>
      </c>
      <c r="AD45" s="232"/>
      <c r="AE45" s="232"/>
    </row>
    <row r="46" spans="3:40" ht="14.85" customHeight="1" x14ac:dyDescent="0.3">
      <c r="D46" s="825"/>
      <c r="E46" s="819"/>
      <c r="F46" s="850"/>
      <c r="G46" s="850"/>
      <c r="H46" s="745"/>
      <c r="I46" s="745"/>
      <c r="J46" s="891"/>
      <c r="K46" s="745"/>
      <c r="L46" s="745"/>
      <c r="T46" s="1508">
        <v>1592.8</v>
      </c>
      <c r="U46" s="1508">
        <v>1611.787504411493</v>
      </c>
      <c r="V46" s="1508">
        <v>1628.5978701592621</v>
      </c>
      <c r="W46" s="1508">
        <v>1646.4878825394514</v>
      </c>
      <c r="X46" s="1508">
        <v>1664.0299096414228</v>
      </c>
      <c r="Y46" s="1508">
        <v>1680.7242802964522</v>
      </c>
      <c r="Z46" s="1508">
        <v>1697.0438975749396</v>
      </c>
      <c r="AA46" s="1508">
        <v>1713.2385970612456</v>
      </c>
      <c r="AB46" s="1508">
        <v>1730.2809529944936</v>
      </c>
      <c r="AC46" s="1508">
        <v>1747.8319027959062</v>
      </c>
      <c r="AD46" s="232"/>
      <c r="AE46" s="232"/>
    </row>
    <row r="47" spans="3:40" ht="14.85" customHeight="1" x14ac:dyDescent="0.3">
      <c r="D47" s="825"/>
      <c r="E47" s="819"/>
      <c r="F47" s="850"/>
      <c r="G47" s="850"/>
      <c r="H47" s="745"/>
      <c r="I47" s="745"/>
      <c r="J47" s="745"/>
      <c r="K47" s="745"/>
      <c r="L47" s="745"/>
      <c r="T47" s="1508">
        <v>95.360546952748706</v>
      </c>
      <c r="U47" s="1508">
        <v>88.958815333784486</v>
      </c>
      <c r="V47" s="1508">
        <v>83.91599856693604</v>
      </c>
      <c r="W47" s="1508">
        <v>81.073902312806027</v>
      </c>
      <c r="X47" s="1508">
        <v>78.997448349986072</v>
      </c>
      <c r="Y47" s="1508">
        <v>79.891365789578444</v>
      </c>
      <c r="Z47" s="1508">
        <v>81.322435412602999</v>
      </c>
      <c r="AA47" s="1508">
        <v>83.346777596433256</v>
      </c>
      <c r="AB47" s="1508">
        <v>86.228959834401508</v>
      </c>
      <c r="AC47" s="1508">
        <v>89.010927112774183</v>
      </c>
      <c r="AD47" s="232"/>
      <c r="AE47" s="232"/>
    </row>
    <row r="48" spans="3:40" ht="41.85" customHeight="1" x14ac:dyDescent="0.3">
      <c r="F48" s="213"/>
      <c r="G48" s="213"/>
      <c r="H48" s="645"/>
      <c r="I48" s="645"/>
      <c r="J48" s="645"/>
      <c r="K48" s="645"/>
      <c r="L48" s="645"/>
      <c r="M48" s="449"/>
      <c r="N48" s="449"/>
      <c r="AD48" s="645"/>
      <c r="AE48" s="645"/>
      <c r="AF48" s="645"/>
      <c r="AG48" s="645"/>
      <c r="AH48" s="645"/>
      <c r="AI48" s="645"/>
      <c r="AJ48" s="645"/>
      <c r="AK48" s="645"/>
      <c r="AM48" s="645"/>
      <c r="AN48" s="645"/>
    </row>
    <row r="49" spans="4:26" ht="30.75" customHeight="1" x14ac:dyDescent="0.3">
      <c r="D49" s="696" t="s">
        <v>1899</v>
      </c>
      <c r="E49" s="636">
        <v>2018</v>
      </c>
      <c r="F49" s="697">
        <v>2019</v>
      </c>
      <c r="G49" s="697">
        <v>2020</v>
      </c>
      <c r="H49" s="697">
        <v>2021</v>
      </c>
      <c r="I49" s="698">
        <v>2022</v>
      </c>
      <c r="J49" s="699">
        <v>2023</v>
      </c>
      <c r="K49" s="699">
        <v>2024</v>
      </c>
      <c r="L49" s="700">
        <v>2025</v>
      </c>
      <c r="N49" s="862"/>
      <c r="O49" s="245"/>
    </row>
    <row r="50" spans="4:26" ht="30.75" customHeight="1" x14ac:dyDescent="0.3">
      <c r="D50" s="703" t="s">
        <v>1898</v>
      </c>
      <c r="E50" s="704">
        <v>1683.5</v>
      </c>
      <c r="F50" s="704">
        <v>1717.9</v>
      </c>
      <c r="G50" s="704">
        <v>1609</v>
      </c>
      <c r="H50" s="285">
        <v>2044.377</v>
      </c>
      <c r="I50" s="453">
        <v>2632.145</v>
      </c>
      <c r="J50" s="893">
        <v>2522.7190000000001</v>
      </c>
      <c r="K50" s="453">
        <v>2467.0259999999998</v>
      </c>
      <c r="L50" s="332">
        <v>2510.951</v>
      </c>
      <c r="M50" s="871" t="s">
        <v>542</v>
      </c>
      <c r="N50" s="862"/>
      <c r="O50" s="245"/>
    </row>
    <row r="51" spans="4:26" ht="16.5" customHeight="1" x14ac:dyDescent="0.3">
      <c r="D51" s="867" t="s">
        <v>1900</v>
      </c>
      <c r="E51" s="701">
        <v>1170.7</v>
      </c>
      <c r="F51" s="701">
        <v>1243.4000000000001</v>
      </c>
      <c r="G51" s="701">
        <v>1310</v>
      </c>
      <c r="H51" s="702">
        <v>1314.088</v>
      </c>
      <c r="I51" s="214">
        <v>1483.5260000000001</v>
      </c>
      <c r="J51" s="892">
        <v>1562.308</v>
      </c>
      <c r="K51" s="214">
        <v>1632.9190000000001</v>
      </c>
      <c r="L51" s="279">
        <v>1702.7950000000001</v>
      </c>
      <c r="M51" s="871"/>
      <c r="N51" s="856"/>
      <c r="O51" s="839"/>
      <c r="P51" s="853"/>
    </row>
    <row r="52" spans="4:26" x14ac:dyDescent="0.3">
      <c r="D52" s="544" t="s">
        <v>544</v>
      </c>
      <c r="E52" s="702">
        <f t="shared" ref="E52:L52" si="16">E53+E54</f>
        <v>136.30000000000001</v>
      </c>
      <c r="F52" s="702">
        <f t="shared" si="16"/>
        <v>170.6</v>
      </c>
      <c r="G52" s="702">
        <f t="shared" si="16"/>
        <v>156</v>
      </c>
      <c r="H52" s="702">
        <f t="shared" si="16"/>
        <v>155.25900000000001</v>
      </c>
      <c r="I52" s="702">
        <f t="shared" si="16"/>
        <v>188</v>
      </c>
      <c r="J52" s="781">
        <f t="shared" si="16"/>
        <v>190</v>
      </c>
      <c r="K52" s="702">
        <f t="shared" si="16"/>
        <v>198</v>
      </c>
      <c r="L52" s="789">
        <f t="shared" si="16"/>
        <v>198</v>
      </c>
      <c r="N52" s="180"/>
      <c r="P52" s="857"/>
      <c r="Q52" s="857"/>
      <c r="R52" s="857"/>
      <c r="S52" s="857"/>
      <c r="T52" s="857"/>
      <c r="U52" s="857"/>
      <c r="V52" s="857"/>
      <c r="W52" s="857"/>
    </row>
    <row r="53" spans="4:26" x14ac:dyDescent="0.3">
      <c r="D53" s="836" t="s">
        <v>1901</v>
      </c>
      <c r="E53" s="701">
        <v>95</v>
      </c>
      <c r="F53" s="701">
        <v>99.8</v>
      </c>
      <c r="G53" s="701">
        <v>87</v>
      </c>
      <c r="H53" s="702">
        <v>75.274000000000001</v>
      </c>
      <c r="I53" s="707">
        <v>88</v>
      </c>
      <c r="J53" s="708">
        <v>91</v>
      </c>
      <c r="K53" s="707">
        <v>101</v>
      </c>
      <c r="L53" s="709">
        <v>100</v>
      </c>
      <c r="N53" s="180"/>
      <c r="P53" s="857"/>
      <c r="Q53" s="857"/>
      <c r="R53" s="857"/>
      <c r="S53" s="857"/>
      <c r="T53" s="857"/>
      <c r="U53" s="857"/>
      <c r="V53" s="857"/>
      <c r="W53" s="857"/>
    </row>
    <row r="54" spans="4:26" ht="16.5" customHeight="1" x14ac:dyDescent="0.3">
      <c r="D54" s="481" t="s">
        <v>1902</v>
      </c>
      <c r="E54" s="701">
        <v>41.3</v>
      </c>
      <c r="F54" s="701">
        <v>70.8</v>
      </c>
      <c r="G54" s="701">
        <v>69</v>
      </c>
      <c r="H54" s="702">
        <v>79.984999999999999</v>
      </c>
      <c r="I54" s="707">
        <v>100</v>
      </c>
      <c r="J54" s="708">
        <v>99</v>
      </c>
      <c r="K54" s="707">
        <v>97</v>
      </c>
      <c r="L54" s="709">
        <v>98</v>
      </c>
      <c r="M54" s="851"/>
      <c r="N54" s="851"/>
      <c r="O54" s="855"/>
      <c r="P54" s="853"/>
      <c r="Q54" s="853"/>
      <c r="R54" s="853"/>
      <c r="S54" s="853"/>
      <c r="T54" s="853"/>
      <c r="U54" s="853"/>
      <c r="V54" s="853"/>
      <c r="W54" s="853"/>
      <c r="X54" s="851"/>
      <c r="Y54" s="851"/>
      <c r="Z54" s="854"/>
    </row>
    <row r="55" spans="4:26" ht="16.5" customHeight="1" x14ac:dyDescent="0.3">
      <c r="D55" s="705" t="s">
        <v>1903</v>
      </c>
      <c r="E55" s="706">
        <v>204.7</v>
      </c>
      <c r="F55" s="706">
        <v>230.2</v>
      </c>
      <c r="G55" s="706">
        <v>212</v>
      </c>
      <c r="H55" s="811">
        <v>371.83100000000002</v>
      </c>
      <c r="I55" s="466">
        <v>424.86700000000002</v>
      </c>
      <c r="J55" s="710">
        <v>475.38</v>
      </c>
      <c r="K55" s="466">
        <v>478.517</v>
      </c>
      <c r="L55" s="367">
        <v>488.59100000000001</v>
      </c>
      <c r="M55" s="851"/>
      <c r="N55" s="851"/>
      <c r="O55" s="855"/>
      <c r="P55" s="853"/>
      <c r="Q55" s="853"/>
      <c r="R55" s="853"/>
      <c r="S55" s="853"/>
      <c r="T55" s="853"/>
      <c r="U55" s="853"/>
      <c r="V55" s="853"/>
      <c r="W55" s="853"/>
      <c r="X55" s="851"/>
      <c r="Y55" s="851"/>
      <c r="Z55" s="854"/>
    </row>
    <row r="56" spans="4:26" ht="16.5" customHeight="1" x14ac:dyDescent="0.3"/>
    <row r="57" spans="4:26" x14ac:dyDescent="0.3">
      <c r="D57" s="844" t="s">
        <v>545</v>
      </c>
      <c r="E57" s="693">
        <v>2018</v>
      </c>
      <c r="F57" s="694">
        <v>2019</v>
      </c>
      <c r="G57" s="695">
        <v>2020</v>
      </c>
      <c r="H57" s="694">
        <v>2021</v>
      </c>
      <c r="I57" s="694">
        <v>2022</v>
      </c>
      <c r="J57" s="863">
        <v>2023</v>
      </c>
      <c r="K57" s="863">
        <v>2024</v>
      </c>
      <c r="L57" s="864">
        <v>2025</v>
      </c>
      <c r="O57" s="491" t="s">
        <v>546</v>
      </c>
    </row>
    <row r="58" spans="4:26" ht="14.85" customHeight="1" x14ac:dyDescent="0.3">
      <c r="D58" s="846" t="s">
        <v>541</v>
      </c>
      <c r="E58" s="209">
        <v>1622</v>
      </c>
      <c r="F58" s="209">
        <v>1687</v>
      </c>
      <c r="G58" s="841">
        <f t="shared" ref="G58:L61" si="17">G37</f>
        <v>1702.5749999999998</v>
      </c>
      <c r="H58" s="841">
        <f t="shared" si="17"/>
        <v>2008.4750000000001</v>
      </c>
      <c r="I58" s="841">
        <f t="shared" si="17"/>
        <v>2509.8999999999996</v>
      </c>
      <c r="J58" s="841">
        <f t="shared" si="17"/>
        <v>2405.556083764382</v>
      </c>
      <c r="K58" s="841">
        <f t="shared" si="17"/>
        <v>2352.4496398944584</v>
      </c>
      <c r="L58" s="841">
        <f t="shared" si="17"/>
        <v>2394.3346262838863</v>
      </c>
    </row>
    <row r="59" spans="4:26" x14ac:dyDescent="0.3">
      <c r="D59" s="846" t="s">
        <v>547</v>
      </c>
      <c r="E59" s="209">
        <v>1332</v>
      </c>
      <c r="F59" s="209">
        <v>1388</v>
      </c>
      <c r="G59" s="841">
        <f t="shared" si="17"/>
        <v>1425.3999999999999</v>
      </c>
      <c r="H59" s="841">
        <f t="shared" si="17"/>
        <v>1495.1000000000001</v>
      </c>
      <c r="I59" s="841">
        <f t="shared" si="17"/>
        <v>1627.425</v>
      </c>
      <c r="J59" s="841">
        <f t="shared" si="17"/>
        <v>1713.8486935180104</v>
      </c>
      <c r="K59" s="841">
        <f t="shared" si="17"/>
        <v>1791.3088166806649</v>
      </c>
      <c r="L59" s="841">
        <f t="shared" si="17"/>
        <v>1867.9626463405427</v>
      </c>
      <c r="N59" s="849"/>
    </row>
    <row r="60" spans="4:26" x14ac:dyDescent="0.3">
      <c r="D60" s="846" t="s">
        <v>105</v>
      </c>
      <c r="E60" s="209">
        <v>150</v>
      </c>
      <c r="F60" s="209">
        <v>175</v>
      </c>
      <c r="G60" s="841">
        <f t="shared" si="17"/>
        <v>161.30000000000001</v>
      </c>
      <c r="H60" s="841">
        <f t="shared" si="17"/>
        <v>166.42500000000001</v>
      </c>
      <c r="I60" s="841">
        <f t="shared" si="17"/>
        <v>200.55</v>
      </c>
      <c r="J60" s="841">
        <f t="shared" si="17"/>
        <v>202.68351063829786</v>
      </c>
      <c r="K60" s="841">
        <f t="shared" si="17"/>
        <v>211.21755319148934</v>
      </c>
      <c r="L60" s="841">
        <f t="shared" si="17"/>
        <v>211.21755319148934</v>
      </c>
      <c r="N60" s="849"/>
    </row>
    <row r="61" spans="4:26" x14ac:dyDescent="0.3">
      <c r="D61" s="845" t="s">
        <v>303</v>
      </c>
      <c r="E61" s="537">
        <v>208</v>
      </c>
      <c r="F61" s="537">
        <v>219</v>
      </c>
      <c r="G61" s="889">
        <f t="shared" si="17"/>
        <v>201.37499999999997</v>
      </c>
      <c r="H61" s="889">
        <f t="shared" si="17"/>
        <v>258.97500000000002</v>
      </c>
      <c r="I61" s="889">
        <f t="shared" si="17"/>
        <v>328.1</v>
      </c>
      <c r="J61" s="889">
        <f t="shared" si="17"/>
        <v>367.10824328554583</v>
      </c>
      <c r="K61" s="889">
        <f t="shared" si="17"/>
        <v>369.53076539246399</v>
      </c>
      <c r="L61" s="889">
        <f t="shared" si="17"/>
        <v>377.3103279379194</v>
      </c>
      <c r="O61" s="1383" t="s">
        <v>969</v>
      </c>
      <c r="P61" s="1383" t="s">
        <v>969</v>
      </c>
      <c r="Q61" s="1383" t="s">
        <v>969</v>
      </c>
      <c r="R61" s="1383" t="s">
        <v>969</v>
      </c>
      <c r="S61" s="1383" t="s">
        <v>969</v>
      </c>
      <c r="T61" s="1383" t="s">
        <v>969</v>
      </c>
      <c r="U61" s="1383" t="s">
        <v>969</v>
      </c>
      <c r="V61" s="1384" t="s">
        <v>969</v>
      </c>
    </row>
    <row r="62" spans="4:26" ht="14.85" customHeight="1" x14ac:dyDescent="0.3">
      <c r="D62" s="240"/>
      <c r="E62" s="209"/>
      <c r="F62" s="209"/>
      <c r="G62" s="209"/>
      <c r="P62" s="1385">
        <v>2022</v>
      </c>
      <c r="Q62" s="1386">
        <v>2022</v>
      </c>
      <c r="R62" s="1386">
        <v>2022</v>
      </c>
      <c r="S62" s="1387">
        <v>2022</v>
      </c>
    </row>
    <row r="63" spans="4:26" ht="17.25" customHeight="1" x14ac:dyDescent="0.3">
      <c r="D63" s="420" t="s">
        <v>549</v>
      </c>
      <c r="E63" s="209"/>
      <c r="F63" s="209"/>
      <c r="G63" s="209"/>
      <c r="P63" s="888" t="s">
        <v>970</v>
      </c>
      <c r="Q63" s="888" t="s">
        <v>971</v>
      </c>
      <c r="R63" s="888" t="s">
        <v>972</v>
      </c>
      <c r="S63" s="888" t="s">
        <v>973</v>
      </c>
      <c r="T63" s="890" t="s">
        <v>987</v>
      </c>
    </row>
    <row r="64" spans="4:26" ht="30" customHeight="1" x14ac:dyDescent="0.3">
      <c r="D64" s="883" t="s">
        <v>550</v>
      </c>
      <c r="E64" s="694">
        <v>2018</v>
      </c>
      <c r="F64" s="694">
        <v>2019</v>
      </c>
      <c r="G64" s="695">
        <v>2020</v>
      </c>
      <c r="H64" s="636">
        <v>2021</v>
      </c>
      <c r="I64" s="637">
        <v>2022</v>
      </c>
      <c r="J64" s="865">
        <v>2023</v>
      </c>
      <c r="K64" s="865">
        <v>2024</v>
      </c>
      <c r="L64" s="866">
        <v>2025</v>
      </c>
      <c r="O64" s="30" t="s">
        <v>548</v>
      </c>
      <c r="P64" s="886">
        <v>2973</v>
      </c>
      <c r="Q64" s="886">
        <v>3062.8</v>
      </c>
      <c r="R64" s="886">
        <v>3085.2</v>
      </c>
      <c r="S64" s="887">
        <v>2106.1999999999998</v>
      </c>
      <c r="T64" s="886">
        <v>3123.2</v>
      </c>
    </row>
    <row r="65" spans="4:20" x14ac:dyDescent="0.3">
      <c r="D65" s="846" t="s">
        <v>541</v>
      </c>
      <c r="E65" s="417">
        <f t="shared" ref="E65:K67" si="18">E58/E50</f>
        <v>0.96346896346896349</v>
      </c>
      <c r="F65" s="417">
        <f t="shared" si="18"/>
        <v>0.98201292275452579</v>
      </c>
      <c r="G65" s="417">
        <f t="shared" si="18"/>
        <v>1.0581572405220632</v>
      </c>
      <c r="H65" s="821">
        <f t="shared" si="18"/>
        <v>0.98243865979709233</v>
      </c>
      <c r="I65" s="822">
        <f t="shared" si="18"/>
        <v>0.9535568899129796</v>
      </c>
      <c r="J65" s="822">
        <f t="shared" si="18"/>
        <v>0.9535568899129796</v>
      </c>
      <c r="K65" s="822">
        <f t="shared" si="18"/>
        <v>0.95355688991297971</v>
      </c>
      <c r="L65" s="823"/>
      <c r="T65" s="245"/>
    </row>
    <row r="66" spans="4:20" x14ac:dyDescent="0.3">
      <c r="D66" s="846" t="s">
        <v>547</v>
      </c>
      <c r="E66" s="417">
        <f t="shared" si="18"/>
        <v>1.1377808148970701</v>
      </c>
      <c r="F66" s="417">
        <f t="shared" si="18"/>
        <v>1.1162940324915553</v>
      </c>
      <c r="G66" s="417">
        <f t="shared" si="18"/>
        <v>1.0880916030534351</v>
      </c>
      <c r="H66" s="774">
        <f t="shared" si="18"/>
        <v>1.1377472437157938</v>
      </c>
      <c r="I66" s="417">
        <f t="shared" si="18"/>
        <v>1.0969979629612152</v>
      </c>
      <c r="J66" s="417">
        <f t="shared" si="18"/>
        <v>1.0969979629612152</v>
      </c>
      <c r="K66" s="417">
        <f t="shared" si="18"/>
        <v>1.0969979629612154</v>
      </c>
      <c r="L66" s="610"/>
    </row>
    <row r="67" spans="4:20" x14ac:dyDescent="0.3">
      <c r="D67" s="846" t="s">
        <v>105</v>
      </c>
      <c r="E67" s="417">
        <f t="shared" si="18"/>
        <v>1.1005135730007336</v>
      </c>
      <c r="F67" s="417">
        <f t="shared" si="18"/>
        <v>1.0257913247362251</v>
      </c>
      <c r="G67" s="417">
        <f t="shared" si="18"/>
        <v>1.0339743589743591</v>
      </c>
      <c r="H67" s="774">
        <f t="shared" si="18"/>
        <v>1.0719185361235097</v>
      </c>
      <c r="I67" s="417">
        <f t="shared" si="18"/>
        <v>1.0667553191489363</v>
      </c>
      <c r="J67" s="417">
        <f t="shared" si="18"/>
        <v>1.0667553191489361</v>
      </c>
      <c r="K67" s="417">
        <f t="shared" si="18"/>
        <v>1.0667553191489361</v>
      </c>
      <c r="L67" s="610"/>
    </row>
    <row r="68" spans="4:20" x14ac:dyDescent="0.3">
      <c r="D68" s="845" t="s">
        <v>303</v>
      </c>
      <c r="E68" s="776">
        <f t="shared" ref="E68:K68" si="19">E61/E55</f>
        <v>1.0161211529066927</v>
      </c>
      <c r="F68" s="776">
        <f t="shared" si="19"/>
        <v>0.95134665508253702</v>
      </c>
      <c r="G68" s="776">
        <f t="shared" si="19"/>
        <v>0.94988207547169801</v>
      </c>
      <c r="H68" s="775">
        <f t="shared" si="19"/>
        <v>0.69648576907250881</v>
      </c>
      <c r="I68" s="776">
        <f t="shared" si="19"/>
        <v>0.77224166621554513</v>
      </c>
      <c r="J68" s="776">
        <f t="shared" si="19"/>
        <v>0.77224166621554513</v>
      </c>
      <c r="K68" s="776">
        <f t="shared" si="19"/>
        <v>0.77224166621554513</v>
      </c>
      <c r="L68" s="398"/>
    </row>
    <row r="70" spans="4:20" x14ac:dyDescent="0.3">
      <c r="D70" s="240"/>
      <c r="E70" s="209"/>
      <c r="F70" s="209"/>
      <c r="G70" s="209"/>
    </row>
    <row r="71" spans="4:20" x14ac:dyDescent="0.3">
      <c r="D71" s="213" t="s">
        <v>551</v>
      </c>
    </row>
    <row r="72" spans="4:20" x14ac:dyDescent="0.3">
      <c r="D72" s="711"/>
      <c r="E72" s="636">
        <v>2018</v>
      </c>
      <c r="F72" s="697">
        <v>2019</v>
      </c>
      <c r="G72" s="697">
        <v>2020</v>
      </c>
      <c r="H72" s="739">
        <v>2021</v>
      </c>
      <c r="I72" s="697">
        <v>2022</v>
      </c>
      <c r="J72" s="712">
        <v>2023</v>
      </c>
      <c r="K72" s="712">
        <v>2024</v>
      </c>
      <c r="L72" s="868">
        <v>2025</v>
      </c>
    </row>
    <row r="73" spans="4:20" x14ac:dyDescent="0.3">
      <c r="D73" s="566" t="s">
        <v>1904</v>
      </c>
      <c r="E73" s="285">
        <v>14016.099999999999</v>
      </c>
      <c r="F73" s="285">
        <v>14604.2</v>
      </c>
      <c r="G73" s="285">
        <v>14711.300000000001</v>
      </c>
      <c r="H73" s="411">
        <v>20725.8</v>
      </c>
      <c r="I73" s="714">
        <v>21482.5</v>
      </c>
      <c r="J73" s="714">
        <v>22812.2</v>
      </c>
      <c r="K73" s="714">
        <v>23945.599999999999</v>
      </c>
      <c r="L73" s="715">
        <v>24950.7</v>
      </c>
    </row>
    <row r="74" spans="4:20" x14ac:dyDescent="0.3">
      <c r="D74" s="767" t="s">
        <v>1905</v>
      </c>
      <c r="E74" s="209">
        <v>8804</v>
      </c>
      <c r="F74" s="209">
        <v>9209</v>
      </c>
      <c r="G74" s="702">
        <v>9300</v>
      </c>
      <c r="H74" s="713">
        <v>10082.5</v>
      </c>
      <c r="I74" s="421">
        <v>10994.5</v>
      </c>
      <c r="J74" s="421">
        <v>11592.6</v>
      </c>
      <c r="K74" s="421">
        <v>12130.9</v>
      </c>
      <c r="L74" s="716">
        <v>12724.9</v>
      </c>
    </row>
    <row r="75" spans="4:20" x14ac:dyDescent="0.3">
      <c r="D75" s="767" t="s">
        <v>1906</v>
      </c>
      <c r="E75" s="209">
        <v>13844</v>
      </c>
      <c r="F75" s="209">
        <v>14403</v>
      </c>
      <c r="G75" s="702">
        <v>14201</v>
      </c>
      <c r="H75" s="713">
        <v>15279.9</v>
      </c>
      <c r="I75" s="421">
        <v>17042.8</v>
      </c>
      <c r="J75" s="421">
        <v>18155</v>
      </c>
      <c r="K75" s="421">
        <v>18926.599999999999</v>
      </c>
      <c r="L75" s="716">
        <v>19683.400000000001</v>
      </c>
    </row>
    <row r="76" spans="4:20" x14ac:dyDescent="0.3">
      <c r="D76" s="771" t="s">
        <v>1908</v>
      </c>
      <c r="E76" s="811">
        <v>2211</v>
      </c>
      <c r="F76" s="811">
        <v>2243</v>
      </c>
      <c r="G76" s="811">
        <v>2125</v>
      </c>
      <c r="H76" s="717">
        <v>2678.6</v>
      </c>
      <c r="I76" s="692">
        <v>2926.6</v>
      </c>
      <c r="J76" s="692">
        <v>2669.9</v>
      </c>
      <c r="K76" s="692">
        <v>2538.6999999999998</v>
      </c>
      <c r="L76" s="718">
        <v>2803.5</v>
      </c>
    </row>
    <row r="78" spans="4:20" x14ac:dyDescent="0.3">
      <c r="D78" s="213" t="s">
        <v>555</v>
      </c>
    </row>
    <row r="79" spans="4:20" x14ac:dyDescent="0.3">
      <c r="D79" s="844" t="s">
        <v>556</v>
      </c>
      <c r="E79" s="637">
        <v>2018</v>
      </c>
      <c r="F79" s="740">
        <v>2019</v>
      </c>
      <c r="G79" s="740">
        <v>2020</v>
      </c>
      <c r="H79" s="739">
        <v>2021</v>
      </c>
      <c r="I79" s="740">
        <v>2022</v>
      </c>
      <c r="J79" s="858">
        <v>2023</v>
      </c>
      <c r="K79" s="858">
        <v>2024</v>
      </c>
      <c r="L79" s="868">
        <v>2025</v>
      </c>
    </row>
    <row r="80" spans="4:20" x14ac:dyDescent="0.3">
      <c r="D80" s="872" t="s">
        <v>541</v>
      </c>
      <c r="E80" s="824">
        <f t="shared" ref="E80:L82" si="20">E50/E73</f>
        <v>0.12011187134794987</v>
      </c>
      <c r="F80" s="798">
        <f t="shared" si="20"/>
        <v>0.11763054463784391</v>
      </c>
      <c r="G80" s="794">
        <f t="shared" si="20"/>
        <v>0.10937170746297063</v>
      </c>
      <c r="H80" s="798">
        <f t="shared" si="20"/>
        <v>9.8639232261239621E-2</v>
      </c>
      <c r="I80" s="798">
        <f t="shared" si="20"/>
        <v>0.12252507855231001</v>
      </c>
      <c r="J80" s="798">
        <f t="shared" si="20"/>
        <v>0.11058639675261482</v>
      </c>
      <c r="K80" s="798">
        <f t="shared" si="20"/>
        <v>0.10302627622611252</v>
      </c>
      <c r="L80" s="794">
        <f t="shared" si="20"/>
        <v>0.10063649516847223</v>
      </c>
    </row>
    <row r="81" spans="4:30" x14ac:dyDescent="0.3">
      <c r="D81" s="872" t="s">
        <v>543</v>
      </c>
      <c r="E81" s="812">
        <f t="shared" si="20"/>
        <v>0.13297364834166289</v>
      </c>
      <c r="F81" s="727">
        <f t="shared" si="20"/>
        <v>0.13502008904332718</v>
      </c>
      <c r="G81" s="795">
        <f t="shared" si="20"/>
        <v>0.14086021505376345</v>
      </c>
      <c r="H81" s="727">
        <f t="shared" si="20"/>
        <v>0.1303335482271262</v>
      </c>
      <c r="I81" s="727">
        <f t="shared" si="20"/>
        <v>0.1349334667333667</v>
      </c>
      <c r="J81" s="727">
        <f t="shared" si="20"/>
        <v>0.13476769663405966</v>
      </c>
      <c r="K81" s="727">
        <f t="shared" si="20"/>
        <v>0.13460823187067739</v>
      </c>
      <c r="L81" s="795">
        <f t="shared" si="20"/>
        <v>0.1338159828368003</v>
      </c>
    </row>
    <row r="82" spans="4:30" x14ac:dyDescent="0.3">
      <c r="D82" s="767" t="s">
        <v>557</v>
      </c>
      <c r="E82" s="812">
        <f t="shared" si="20"/>
        <v>9.8454203987286912E-3</v>
      </c>
      <c r="F82" s="727">
        <f t="shared" si="20"/>
        <v>1.1844754565021176E-2</v>
      </c>
      <c r="G82" s="795">
        <f t="shared" si="20"/>
        <v>1.0985141891416098E-2</v>
      </c>
      <c r="H82" s="727">
        <f t="shared" si="20"/>
        <v>1.016099581803546E-2</v>
      </c>
      <c r="I82" s="727">
        <f t="shared" si="20"/>
        <v>1.1031051235712443E-2</v>
      </c>
      <c r="J82" s="727">
        <f t="shared" si="20"/>
        <v>1.0465436518865326E-2</v>
      </c>
      <c r="K82" s="727">
        <f t="shared" si="20"/>
        <v>1.0461466930140649E-2</v>
      </c>
      <c r="L82" s="795">
        <f t="shared" si="20"/>
        <v>1.0059237733318431E-2</v>
      </c>
    </row>
    <row r="83" spans="4:30" x14ac:dyDescent="0.3">
      <c r="D83" s="873" t="s">
        <v>106</v>
      </c>
      <c r="E83" s="777">
        <f t="shared" ref="E83:L83" si="21">E55/E76</f>
        <v>9.258254183627318E-2</v>
      </c>
      <c r="F83" s="778">
        <f t="shared" si="21"/>
        <v>0.10263040570664288</v>
      </c>
      <c r="G83" s="779">
        <f t="shared" si="21"/>
        <v>9.9764705882352936E-2</v>
      </c>
      <c r="H83" s="778">
        <f t="shared" si="21"/>
        <v>0.13881542596878968</v>
      </c>
      <c r="I83" s="778">
        <f t="shared" si="21"/>
        <v>0.14517426365065264</v>
      </c>
      <c r="J83" s="778">
        <f t="shared" si="21"/>
        <v>0.1780516124199408</v>
      </c>
      <c r="K83" s="778">
        <f t="shared" si="21"/>
        <v>0.18848899042817191</v>
      </c>
      <c r="L83" s="779">
        <f t="shared" si="21"/>
        <v>0.174278937042982</v>
      </c>
    </row>
    <row r="85" spans="4:30" x14ac:dyDescent="0.3">
      <c r="D85" s="213" t="s">
        <v>558</v>
      </c>
    </row>
    <row r="86" spans="4:30" x14ac:dyDescent="0.3">
      <c r="D86" s="879" t="s">
        <v>399</v>
      </c>
    </row>
    <row r="87" spans="4:30" x14ac:dyDescent="0.3">
      <c r="D87" s="844" t="s">
        <v>559</v>
      </c>
      <c r="E87" s="694">
        <v>2018</v>
      </c>
      <c r="F87" s="732">
        <v>2019</v>
      </c>
      <c r="G87" s="732">
        <v>2020</v>
      </c>
      <c r="H87" s="738">
        <v>2021</v>
      </c>
      <c r="I87" s="732">
        <v>2022</v>
      </c>
      <c r="J87" s="869">
        <v>2023</v>
      </c>
      <c r="K87" s="869">
        <v>2024</v>
      </c>
      <c r="L87" s="870">
        <v>2025</v>
      </c>
    </row>
    <row r="88" spans="4:30" ht="20.25" customHeight="1" x14ac:dyDescent="0.3">
      <c r="D88" s="847" t="s">
        <v>541</v>
      </c>
      <c r="E88" s="824">
        <f t="shared" ref="E88:G91" si="22">E80*E65</f>
        <v>0.11572406018792676</v>
      </c>
      <c r="F88" s="798">
        <f t="shared" si="22"/>
        <v>0.11551471494501581</v>
      </c>
      <c r="G88" s="798">
        <f t="shared" si="22"/>
        <v>0.11573246416020334</v>
      </c>
      <c r="H88" s="824">
        <f>N107</f>
        <v>0.13083976407289996</v>
      </c>
      <c r="I88" s="798">
        <f>H88</f>
        <v>0.13083976407289996</v>
      </c>
      <c r="J88" s="798">
        <f t="shared" ref="J88:L88" si="23">I88</f>
        <v>0.13083976407289996</v>
      </c>
      <c r="K88" s="798">
        <f t="shared" si="23"/>
        <v>0.13083976407289996</v>
      </c>
      <c r="L88" s="794">
        <f t="shared" si="23"/>
        <v>0.13083976407289996</v>
      </c>
      <c r="M88" s="875"/>
      <c r="N88" s="874"/>
      <c r="O88" s="727"/>
      <c r="P88" s="727"/>
      <c r="Q88" s="727"/>
      <c r="R88" s="727"/>
      <c r="S88" s="727"/>
      <c r="T88" s="727"/>
      <c r="U88" s="727"/>
      <c r="V88" s="727"/>
      <c r="W88" s="727"/>
      <c r="X88" s="727"/>
      <c r="Y88" s="727"/>
    </row>
    <row r="89" spans="4:30" ht="18.75" customHeight="1" x14ac:dyDescent="0.3">
      <c r="D89" s="847" t="s">
        <v>543</v>
      </c>
      <c r="E89" s="812">
        <f t="shared" si="22"/>
        <v>0.15129486597001363</v>
      </c>
      <c r="F89" s="727">
        <f t="shared" si="22"/>
        <v>0.15072211966554458</v>
      </c>
      <c r="G89" s="727">
        <f t="shared" si="22"/>
        <v>0.15326881720430108</v>
      </c>
      <c r="H89" s="812">
        <f>N109</f>
        <v>0.14822588114733906</v>
      </c>
      <c r="I89" s="727">
        <f>H89</f>
        <v>0.14822588114733906</v>
      </c>
      <c r="J89" s="727">
        <f>I89</f>
        <v>0.14822588114733906</v>
      </c>
      <c r="K89" s="727">
        <f t="shared" ref="K89:L89" si="24">J89</f>
        <v>0.14822588114733906</v>
      </c>
      <c r="L89" s="795">
        <f t="shared" si="24"/>
        <v>0.14822588114733906</v>
      </c>
      <c r="M89" s="875"/>
      <c r="N89" s="874"/>
      <c r="O89" s="727"/>
      <c r="P89" s="727"/>
      <c r="Q89" s="727"/>
      <c r="R89" s="727"/>
      <c r="S89" s="727"/>
      <c r="T89" s="727"/>
      <c r="U89" s="727"/>
      <c r="V89" s="727"/>
      <c r="W89" s="727"/>
      <c r="X89" s="727"/>
      <c r="Y89" s="727"/>
    </row>
    <row r="90" spans="4:30" ht="19.350000000000001" customHeight="1" x14ac:dyDescent="0.3">
      <c r="D90" s="846" t="s">
        <v>105</v>
      </c>
      <c r="E90" s="812">
        <f t="shared" si="22"/>
        <v>1.0835018780699219E-2</v>
      </c>
      <c r="F90" s="727">
        <f t="shared" si="22"/>
        <v>1.2150246476428523E-2</v>
      </c>
      <c r="G90" s="727">
        <f t="shared" si="22"/>
        <v>1.1358355045419337E-2</v>
      </c>
      <c r="H90" s="812">
        <f>N110</f>
        <v>1.1211939165902553E-2</v>
      </c>
      <c r="I90" s="727">
        <f>AVERAGE($F67:$G67)*I82</f>
        <v>1.1360690395286862E-2</v>
      </c>
      <c r="J90" s="727">
        <f>AVERAGE($F67:$G67)*J82</f>
        <v>1.0778173503305177E-2</v>
      </c>
      <c r="K90" s="727">
        <f>J90</f>
        <v>1.0778173503305177E-2</v>
      </c>
      <c r="L90" s="795">
        <f>K90</f>
        <v>1.0778173503305177E-2</v>
      </c>
      <c r="M90" s="875"/>
      <c r="N90" s="874"/>
      <c r="O90" s="727"/>
      <c r="P90" s="727"/>
      <c r="Q90" s="727"/>
      <c r="R90" s="727"/>
      <c r="S90" s="727"/>
      <c r="T90" s="727"/>
      <c r="U90" s="727"/>
      <c r="V90" s="727"/>
      <c r="W90" s="727"/>
      <c r="X90" s="727"/>
      <c r="Y90" s="727"/>
    </row>
    <row r="91" spans="4:30" ht="19.350000000000001" customHeight="1" x14ac:dyDescent="0.3">
      <c r="D91" s="848" t="s">
        <v>106</v>
      </c>
      <c r="E91" s="777">
        <f t="shared" si="22"/>
        <v>9.4075079149706017E-2</v>
      </c>
      <c r="F91" s="778">
        <f t="shared" si="22"/>
        <v>9.7637093178778417E-2</v>
      </c>
      <c r="G91" s="778">
        <f t="shared" si="22"/>
        <v>9.4764705882352931E-2</v>
      </c>
      <c r="H91" s="777">
        <f>M111</f>
        <v>0.11594202898550723</v>
      </c>
      <c r="I91" s="778">
        <f>N111</f>
        <v>0.11690415853101242</v>
      </c>
      <c r="J91" s="778">
        <f>I91</f>
        <v>0.11690415853101242</v>
      </c>
      <c r="K91" s="778">
        <f>J91</f>
        <v>0.11690415853101242</v>
      </c>
      <c r="L91" s="779">
        <f>K91</f>
        <v>0.11690415853101242</v>
      </c>
      <c r="M91" s="875"/>
      <c r="N91" s="874"/>
      <c r="O91" s="727"/>
      <c r="P91" s="727"/>
      <c r="Q91" s="727"/>
      <c r="R91" s="727"/>
      <c r="S91" s="727"/>
      <c r="T91" s="727"/>
      <c r="U91" s="727"/>
      <c r="V91" s="727"/>
      <c r="W91" s="727"/>
      <c r="X91" s="727"/>
      <c r="Y91" s="727"/>
    </row>
    <row r="92" spans="4:30" x14ac:dyDescent="0.3">
      <c r="E92" s="736"/>
      <c r="F92" s="736"/>
      <c r="G92" s="736"/>
      <c r="H92" s="736"/>
      <c r="I92" s="736"/>
      <c r="J92" s="736"/>
      <c r="K92" s="736"/>
      <c r="L92" s="736"/>
    </row>
    <row r="93" spans="4:30" x14ac:dyDescent="0.3">
      <c r="D93" s="878" t="s">
        <v>412</v>
      </c>
      <c r="E93" s="727"/>
      <c r="F93" s="727"/>
      <c r="G93" s="727"/>
      <c r="H93" s="727"/>
      <c r="I93" s="727"/>
      <c r="J93" s="727"/>
      <c r="K93" s="727"/>
      <c r="L93" s="727"/>
      <c r="M93" s="727"/>
      <c r="N93" s="727"/>
      <c r="O93" s="727"/>
      <c r="P93" s="727"/>
      <c r="Q93" s="727"/>
      <c r="R93" s="727"/>
      <c r="S93" s="727"/>
      <c r="T93" s="727"/>
      <c r="U93" s="727"/>
      <c r="V93" s="727"/>
      <c r="W93" s="727"/>
      <c r="X93" s="727"/>
      <c r="Y93" s="727"/>
    </row>
    <row r="94" spans="4:30" x14ac:dyDescent="0.3">
      <c r="D94" s="1369" t="s">
        <v>1919</v>
      </c>
      <c r="E94" s="1376"/>
      <c r="F94" s="1273">
        <v>2019</v>
      </c>
      <c r="G94" s="1278"/>
      <c r="H94" s="1279"/>
      <c r="I94" s="1273">
        <v>2020</v>
      </c>
      <c r="J94" s="1278"/>
      <c r="K94" s="1278"/>
      <c r="L94" s="1279"/>
      <c r="M94" s="1273">
        <v>2021</v>
      </c>
      <c r="N94" s="1278"/>
      <c r="O94" s="1278"/>
      <c r="P94" s="1278"/>
      <c r="Q94" s="1273">
        <v>2022</v>
      </c>
      <c r="R94" s="1274"/>
      <c r="S94" s="1274"/>
      <c r="T94" s="1279"/>
      <c r="U94" s="1284">
        <v>2023</v>
      </c>
      <c r="V94" s="1285"/>
      <c r="W94" s="1285"/>
      <c r="X94" s="1286"/>
      <c r="Y94" s="1287">
        <v>2024</v>
      </c>
      <c r="Z94" s="1285"/>
      <c r="AA94" s="1285"/>
      <c r="AB94" s="1285"/>
      <c r="AC94" s="233">
        <v>2025</v>
      </c>
    </row>
    <row r="95" spans="4:30" x14ac:dyDescent="0.3">
      <c r="D95" s="1381"/>
      <c r="E95" s="1382"/>
      <c r="F95" s="163" t="s">
        <v>329</v>
      </c>
      <c r="G95" s="176" t="s">
        <v>238</v>
      </c>
      <c r="H95" s="159" t="s">
        <v>327</v>
      </c>
      <c r="I95" s="163" t="s">
        <v>328</v>
      </c>
      <c r="J95" s="176" t="s">
        <v>329</v>
      </c>
      <c r="K95" s="176" t="s">
        <v>238</v>
      </c>
      <c r="L95" s="159" t="s">
        <v>327</v>
      </c>
      <c r="M95" s="163" t="s">
        <v>328</v>
      </c>
      <c r="N95" s="176" t="s">
        <v>329</v>
      </c>
      <c r="O95" s="176" t="s">
        <v>238</v>
      </c>
      <c r="P95" s="176" t="s">
        <v>327</v>
      </c>
      <c r="Q95" s="163" t="s">
        <v>328</v>
      </c>
      <c r="R95" s="176" t="s">
        <v>329</v>
      </c>
      <c r="S95" s="176" t="s">
        <v>238</v>
      </c>
      <c r="T95" s="159" t="s">
        <v>327</v>
      </c>
      <c r="U95" s="280" t="s">
        <v>328</v>
      </c>
      <c r="V95" s="280" t="s">
        <v>329</v>
      </c>
      <c r="W95" s="280" t="s">
        <v>238</v>
      </c>
      <c r="X95" s="278" t="s">
        <v>327</v>
      </c>
      <c r="Y95" s="348" t="s">
        <v>328</v>
      </c>
      <c r="Z95" s="228" t="s">
        <v>329</v>
      </c>
      <c r="AA95" s="280" t="s">
        <v>238</v>
      </c>
      <c r="AB95" s="280" t="s">
        <v>327</v>
      </c>
      <c r="AC95" s="373" t="s">
        <v>328</v>
      </c>
      <c r="AD95" s="727"/>
    </row>
    <row r="96" spans="4:30" x14ac:dyDescent="0.3">
      <c r="D96" s="884" t="s">
        <v>552</v>
      </c>
      <c r="E96" s="719"/>
      <c r="F96" s="285">
        <f t="shared" ref="F96:AC96" si="25">F97+F98</f>
        <v>0</v>
      </c>
      <c r="G96" s="285">
        <f t="shared" si="25"/>
        <v>0</v>
      </c>
      <c r="H96" s="285">
        <f t="shared" si="25"/>
        <v>0</v>
      </c>
      <c r="I96" s="285">
        <f t="shared" si="25"/>
        <v>15134.800000000001</v>
      </c>
      <c r="J96" s="285">
        <f t="shared" si="25"/>
        <v>14265.5</v>
      </c>
      <c r="K96" s="285">
        <f t="shared" si="25"/>
        <v>14943.5</v>
      </c>
      <c r="L96" s="285">
        <f t="shared" si="25"/>
        <v>15319.300000000001</v>
      </c>
      <c r="M96" s="285">
        <f t="shared" si="25"/>
        <v>15357.6</v>
      </c>
      <c r="N96" s="285">
        <f t="shared" si="25"/>
        <v>15825.2</v>
      </c>
      <c r="O96" s="285">
        <f t="shared" si="25"/>
        <v>16160.699999999999</v>
      </c>
      <c r="P96" s="285">
        <f t="shared" si="25"/>
        <v>16536.3</v>
      </c>
      <c r="Q96" s="285">
        <f t="shared" si="25"/>
        <v>16751.7</v>
      </c>
      <c r="R96" s="285">
        <f t="shared" si="25"/>
        <v>16992.3</v>
      </c>
      <c r="S96" s="285">
        <f t="shared" si="25"/>
        <v>17266.900000000001</v>
      </c>
      <c r="T96" s="285">
        <f t="shared" si="25"/>
        <v>17639.8</v>
      </c>
      <c r="U96" s="729">
        <f t="shared" si="25"/>
        <v>17860.099999999999</v>
      </c>
      <c r="V96" s="731">
        <f t="shared" si="25"/>
        <v>18096.2</v>
      </c>
      <c r="W96" s="731">
        <f t="shared" si="25"/>
        <v>18317.400000000001</v>
      </c>
      <c r="X96" s="731">
        <f t="shared" si="25"/>
        <v>18552.3</v>
      </c>
      <c r="Y96" s="731">
        <f t="shared" si="25"/>
        <v>18754.800000000003</v>
      </c>
      <c r="Z96" s="731">
        <f t="shared" si="25"/>
        <v>18946.099999999999</v>
      </c>
      <c r="AA96" s="731">
        <f t="shared" si="25"/>
        <v>19138.2</v>
      </c>
      <c r="AB96" s="731">
        <f t="shared" si="25"/>
        <v>19333.099999999999</v>
      </c>
      <c r="AC96" s="730">
        <f t="shared" si="25"/>
        <v>19534.599999999999</v>
      </c>
      <c r="AD96" s="727"/>
    </row>
    <row r="97" spans="4:30" x14ac:dyDescent="0.3">
      <c r="D97" s="836" t="s">
        <v>1905</v>
      </c>
      <c r="E97" s="570"/>
      <c r="F97" s="702"/>
      <c r="G97" s="702"/>
      <c r="H97" s="702"/>
      <c r="I97" s="421">
        <v>9624.7000000000007</v>
      </c>
      <c r="J97" s="421">
        <v>8995.7000000000007</v>
      </c>
      <c r="K97" s="421">
        <v>9425.4</v>
      </c>
      <c r="L97" s="421">
        <v>9783.7000000000007</v>
      </c>
      <c r="M97" s="421">
        <v>9851.2000000000007</v>
      </c>
      <c r="N97" s="421">
        <v>10138.5</v>
      </c>
      <c r="O97" s="421">
        <v>10422.299999999999</v>
      </c>
      <c r="P97" s="421">
        <v>10748.4</v>
      </c>
      <c r="Q97" s="421">
        <v>10925.5</v>
      </c>
      <c r="R97" s="421">
        <v>11058</v>
      </c>
      <c r="S97" s="421">
        <v>11245.9</v>
      </c>
      <c r="T97" s="421">
        <v>11411.5</v>
      </c>
      <c r="U97" s="424">
        <v>11537.2</v>
      </c>
      <c r="V97" s="422">
        <v>11648</v>
      </c>
      <c r="W97" s="422">
        <v>11773.6</v>
      </c>
      <c r="X97" s="422">
        <v>11917.1</v>
      </c>
      <c r="Y97" s="422">
        <v>12060.2</v>
      </c>
      <c r="Z97" s="422">
        <v>12201.2</v>
      </c>
      <c r="AA97" s="422">
        <v>12345.2</v>
      </c>
      <c r="AB97" s="422">
        <v>12495.8</v>
      </c>
      <c r="AC97" s="423">
        <v>12653.4</v>
      </c>
      <c r="AD97" s="727"/>
    </row>
    <row r="98" spans="4:30" x14ac:dyDescent="0.3">
      <c r="D98" s="253" t="s">
        <v>1909</v>
      </c>
      <c r="E98" s="535"/>
      <c r="F98" s="702"/>
      <c r="G98" s="702"/>
      <c r="H98" s="702"/>
      <c r="I98" s="421">
        <v>5510.1</v>
      </c>
      <c r="J98" s="421">
        <v>5269.8</v>
      </c>
      <c r="K98" s="421">
        <v>5518.1</v>
      </c>
      <c r="L98" s="421">
        <v>5535.6</v>
      </c>
      <c r="M98" s="421">
        <v>5506.4</v>
      </c>
      <c r="N98" s="421">
        <v>5686.7</v>
      </c>
      <c r="O98" s="421">
        <v>5738.4</v>
      </c>
      <c r="P98" s="421">
        <v>5787.9</v>
      </c>
      <c r="Q98" s="421">
        <v>5826.2</v>
      </c>
      <c r="R98" s="421">
        <v>5934.3</v>
      </c>
      <c r="S98" s="421">
        <v>6021</v>
      </c>
      <c r="T98" s="421">
        <v>6228.3</v>
      </c>
      <c r="U98" s="424">
        <v>6322.9</v>
      </c>
      <c r="V98" s="422">
        <v>6448.2</v>
      </c>
      <c r="W98" s="422">
        <v>6543.8</v>
      </c>
      <c r="X98" s="422">
        <v>6635.2</v>
      </c>
      <c r="Y98" s="422">
        <v>6694.6</v>
      </c>
      <c r="Z98" s="422">
        <v>6744.9</v>
      </c>
      <c r="AA98" s="422">
        <v>6793</v>
      </c>
      <c r="AB98" s="422">
        <v>6837.3</v>
      </c>
      <c r="AC98" s="423">
        <v>6881.2</v>
      </c>
      <c r="AD98" s="727"/>
    </row>
    <row r="99" spans="4:30" x14ac:dyDescent="0.3">
      <c r="D99" s="253" t="s">
        <v>1906</v>
      </c>
      <c r="E99" s="535"/>
      <c r="F99" s="702"/>
      <c r="G99" s="702"/>
      <c r="H99" s="702"/>
      <c r="I99" s="421">
        <v>14440.2</v>
      </c>
      <c r="J99" s="421">
        <v>13049.8</v>
      </c>
      <c r="K99" s="421">
        <v>14388.7</v>
      </c>
      <c r="L99" s="421">
        <v>14586</v>
      </c>
      <c r="M99" s="421">
        <v>15131.5</v>
      </c>
      <c r="N99" s="421">
        <v>15813.5</v>
      </c>
      <c r="O99" s="421">
        <v>16147.3</v>
      </c>
      <c r="P99" s="421">
        <v>16518</v>
      </c>
      <c r="Q99" s="421">
        <v>16874.8</v>
      </c>
      <c r="R99" s="421">
        <v>17261.3</v>
      </c>
      <c r="S99" s="421">
        <v>17517.099999999999</v>
      </c>
      <c r="T99" s="421">
        <v>17851.099999999999</v>
      </c>
      <c r="U99" s="424">
        <v>18063.900000000001</v>
      </c>
      <c r="V99" s="422">
        <v>18252.3</v>
      </c>
      <c r="W99" s="422">
        <v>18452.8</v>
      </c>
      <c r="X99" s="422">
        <v>18649.400000000001</v>
      </c>
      <c r="Y99" s="422">
        <v>18836.5</v>
      </c>
      <c r="Z99" s="422">
        <v>19019.400000000001</v>
      </c>
      <c r="AA99" s="422">
        <v>19200.900000000001</v>
      </c>
      <c r="AB99" s="422">
        <v>19391.900000000001</v>
      </c>
      <c r="AC99" s="423">
        <v>19588.599999999999</v>
      </c>
      <c r="AD99" s="727"/>
    </row>
    <row r="100" spans="4:30" x14ac:dyDescent="0.3">
      <c r="D100" s="639" t="s">
        <v>1907</v>
      </c>
      <c r="E100" s="565"/>
      <c r="F100" s="565"/>
      <c r="G100" s="565"/>
      <c r="H100" s="811"/>
      <c r="I100" s="692">
        <v>1736.3</v>
      </c>
      <c r="J100" s="692">
        <v>1597.1</v>
      </c>
      <c r="K100" s="692">
        <v>2041.1</v>
      </c>
      <c r="L100" s="692">
        <v>1947.4</v>
      </c>
      <c r="M100" s="692">
        <v>2152.8000000000002</v>
      </c>
      <c r="N100" s="692">
        <v>2407.1</v>
      </c>
      <c r="O100" s="692">
        <v>2431.8000000000002</v>
      </c>
      <c r="P100" s="692">
        <v>2443.1999999999998</v>
      </c>
      <c r="Q100" s="692">
        <v>2432.6999999999998</v>
      </c>
      <c r="R100" s="692">
        <v>2538.9</v>
      </c>
      <c r="S100" s="692">
        <v>2512.1</v>
      </c>
      <c r="T100" s="692">
        <v>2378.9</v>
      </c>
      <c r="U100" s="722">
        <v>2219.1999999999998</v>
      </c>
      <c r="V100" s="720">
        <v>2093.4</v>
      </c>
      <c r="W100" s="720">
        <v>2022.5</v>
      </c>
      <c r="X100" s="720">
        <v>1970.7</v>
      </c>
      <c r="Y100" s="720">
        <v>1993</v>
      </c>
      <c r="Z100" s="720">
        <v>2028.7</v>
      </c>
      <c r="AA100" s="720">
        <v>2079.1999999999998</v>
      </c>
      <c r="AB100" s="720">
        <v>2151.1</v>
      </c>
      <c r="AC100" s="721">
        <v>2220.5</v>
      </c>
    </row>
    <row r="101" spans="4:30" ht="18.75" customHeight="1" x14ac:dyDescent="0.3"/>
    <row r="102" spans="4:30" x14ac:dyDescent="0.3">
      <c r="D102" s="885"/>
      <c r="E102" s="570"/>
      <c r="F102" s="570"/>
      <c r="G102" s="570"/>
      <c r="H102" s="702"/>
      <c r="I102" s="702"/>
      <c r="J102" s="702"/>
      <c r="K102" s="702"/>
      <c r="L102" s="702"/>
      <c r="M102" s="702"/>
      <c r="N102" s="702"/>
      <c r="O102" s="702"/>
      <c r="P102" s="702"/>
      <c r="Q102" s="702"/>
      <c r="R102" s="702"/>
      <c r="S102" s="702"/>
      <c r="T102" s="702"/>
      <c r="U102" s="702"/>
      <c r="V102" s="702"/>
      <c r="W102" s="702"/>
      <c r="X102" s="702"/>
      <c r="Y102" s="702"/>
      <c r="Z102" s="702"/>
      <c r="AA102" s="702"/>
      <c r="AB102" s="702"/>
      <c r="AC102" s="702"/>
    </row>
    <row r="103" spans="4:30" x14ac:dyDescent="0.3">
      <c r="D103" s="491"/>
      <c r="AC103" s="35"/>
    </row>
    <row r="104" spans="4:30" x14ac:dyDescent="0.3">
      <c r="D104" s="1369" t="s">
        <v>561</v>
      </c>
      <c r="E104" s="1376"/>
      <c r="F104" s="1273">
        <v>2019</v>
      </c>
      <c r="G104" s="1278"/>
      <c r="H104" s="1279"/>
      <c r="I104" s="1278">
        <v>2020</v>
      </c>
      <c r="J104" s="1278"/>
      <c r="K104" s="1278"/>
      <c r="L104" s="1279"/>
      <c r="M104" s="1273">
        <v>2021</v>
      </c>
      <c r="N104" s="1278"/>
      <c r="O104" s="1278"/>
      <c r="P104" s="1278"/>
      <c r="Q104" s="1273">
        <v>2022</v>
      </c>
      <c r="R104" s="1274"/>
      <c r="S104" s="1274"/>
      <c r="T104" s="1279"/>
      <c r="U104" s="1284">
        <v>2023</v>
      </c>
      <c r="V104" s="1285"/>
      <c r="W104" s="1285"/>
      <c r="X104" s="1286"/>
      <c r="Y104" s="1287">
        <v>2024</v>
      </c>
      <c r="Z104" s="1285"/>
      <c r="AA104" s="1285"/>
      <c r="AB104" s="1285"/>
      <c r="AC104" s="233">
        <v>2025</v>
      </c>
    </row>
    <row r="105" spans="4:30" x14ac:dyDescent="0.3">
      <c r="D105" s="1381"/>
      <c r="E105" s="1382"/>
      <c r="F105" s="163" t="s">
        <v>329</v>
      </c>
      <c r="G105" s="176" t="s">
        <v>238</v>
      </c>
      <c r="H105" s="159" t="s">
        <v>327</v>
      </c>
      <c r="I105" s="176" t="s">
        <v>328</v>
      </c>
      <c r="J105" s="176" t="s">
        <v>329</v>
      </c>
      <c r="K105" s="176" t="s">
        <v>238</v>
      </c>
      <c r="L105" s="159" t="s">
        <v>327</v>
      </c>
      <c r="M105" s="163" t="s">
        <v>328</v>
      </c>
      <c r="N105" s="176" t="s">
        <v>329</v>
      </c>
      <c r="O105" s="176" t="s">
        <v>238</v>
      </c>
      <c r="P105" s="176" t="s">
        <v>327</v>
      </c>
      <c r="Q105" s="163" t="s">
        <v>328</v>
      </c>
      <c r="R105" s="176" t="s">
        <v>329</v>
      </c>
      <c r="S105" s="176" t="s">
        <v>238</v>
      </c>
      <c r="T105" s="159" t="s">
        <v>327</v>
      </c>
      <c r="U105" s="247" t="s">
        <v>328</v>
      </c>
      <c r="V105" s="247" t="s">
        <v>329</v>
      </c>
      <c r="W105" s="247" t="s">
        <v>238</v>
      </c>
      <c r="X105" s="248" t="s">
        <v>327</v>
      </c>
      <c r="Y105" s="246" t="s">
        <v>328</v>
      </c>
      <c r="Z105" s="242" t="s">
        <v>329</v>
      </c>
      <c r="AA105" s="247" t="s">
        <v>238</v>
      </c>
      <c r="AB105" s="247" t="s">
        <v>327</v>
      </c>
      <c r="AC105" s="249" t="s">
        <v>328</v>
      </c>
    </row>
    <row r="106" spans="4:30" x14ac:dyDescent="0.3">
      <c r="D106" s="1379" t="s">
        <v>562</v>
      </c>
      <c r="E106" s="1380"/>
      <c r="F106" s="224"/>
      <c r="G106" s="225"/>
      <c r="H106" s="225"/>
      <c r="I106" s="225"/>
      <c r="J106" s="225"/>
      <c r="K106" s="225"/>
      <c r="L106" s="225"/>
      <c r="M106" s="225"/>
      <c r="N106" s="225"/>
      <c r="O106" s="225"/>
      <c r="P106" s="225"/>
      <c r="Q106" s="225"/>
      <c r="R106" s="225"/>
      <c r="S106" s="225"/>
      <c r="T106" s="653"/>
      <c r="U106" s="196"/>
      <c r="V106" s="196"/>
      <c r="W106" s="196"/>
      <c r="X106" s="196"/>
      <c r="Y106" s="196"/>
      <c r="Z106" s="196"/>
      <c r="AA106" s="196"/>
      <c r="AB106" s="196"/>
      <c r="AC106" s="197"/>
    </row>
    <row r="107" spans="4:30" x14ac:dyDescent="0.3">
      <c r="D107" s="481" t="s">
        <v>532</v>
      </c>
      <c r="F107" s="812"/>
      <c r="G107" s="727"/>
      <c r="H107" s="727">
        <f t="shared" ref="H107:T107" si="26">H10/H114</f>
        <v>0.11520931070611083</v>
      </c>
      <c r="I107" s="727">
        <f t="shared" si="26"/>
        <v>0.11566144134388082</v>
      </c>
      <c r="J107" s="727">
        <f t="shared" si="26"/>
        <v>0.11281835698020669</v>
      </c>
      <c r="K107" s="727">
        <f t="shared" si="26"/>
        <v>0.11518678305073408</v>
      </c>
      <c r="L107" s="727">
        <f t="shared" si="26"/>
        <v>0.11990448353254346</v>
      </c>
      <c r="M107" s="727">
        <f t="shared" si="26"/>
        <v>0.12789328127541891</v>
      </c>
      <c r="N107" s="727">
        <f t="shared" si="26"/>
        <v>0.13083976407289996</v>
      </c>
      <c r="O107" s="727">
        <f t="shared" si="26"/>
        <v>0.13349080813015168</v>
      </c>
      <c r="P107" s="727">
        <f t="shared" si="26"/>
        <v>0.13507699001667917</v>
      </c>
      <c r="Q107" s="727">
        <f t="shared" si="26"/>
        <v>0.15293907130714859</v>
      </c>
      <c r="R107" s="727">
        <f t="shared" si="26"/>
        <v>0.15280309534169892</v>
      </c>
      <c r="S107" s="791">
        <f t="shared" si="26"/>
        <v>0.15189254768024193</v>
      </c>
      <c r="T107" s="807">
        <f t="shared" si="26"/>
        <v>0.14996124228381963</v>
      </c>
      <c r="U107" s="728">
        <f>T107+U108</f>
        <v>0.12996124228381964</v>
      </c>
      <c r="V107" s="728">
        <f t="shared" ref="V107:AC107" si="27">U107+V108</f>
        <v>0.12996124228381964</v>
      </c>
      <c r="W107" s="728">
        <f t="shared" si="27"/>
        <v>0.12996124228381964</v>
      </c>
      <c r="X107" s="728">
        <f t="shared" si="27"/>
        <v>0.12996124228381964</v>
      </c>
      <c r="Y107" s="728">
        <f t="shared" si="27"/>
        <v>0.12996124228381964</v>
      </c>
      <c r="Z107" s="728">
        <f t="shared" si="27"/>
        <v>0.12996124228381964</v>
      </c>
      <c r="AA107" s="728">
        <f t="shared" si="27"/>
        <v>0.12996124228381964</v>
      </c>
      <c r="AB107" s="728">
        <f t="shared" si="27"/>
        <v>0.12996124228381964</v>
      </c>
      <c r="AC107" s="728">
        <f t="shared" si="27"/>
        <v>0.12996124228381964</v>
      </c>
    </row>
    <row r="108" spans="4:30" x14ac:dyDescent="0.3">
      <c r="D108" s="481" t="s">
        <v>953</v>
      </c>
      <c r="F108" s="812"/>
      <c r="G108" s="727"/>
      <c r="H108" s="727"/>
      <c r="I108" s="727"/>
      <c r="J108" s="727"/>
      <c r="K108" s="727"/>
      <c r="L108" s="727"/>
      <c r="M108" s="727"/>
      <c r="N108" s="727"/>
      <c r="O108" s="727"/>
      <c r="P108" s="727"/>
      <c r="Q108" s="727"/>
      <c r="R108" s="727"/>
      <c r="S108" s="791"/>
      <c r="T108" s="807"/>
      <c r="U108" s="804">
        <v>-0.02</v>
      </c>
      <c r="V108" s="728"/>
      <c r="W108" s="728"/>
      <c r="X108" s="728"/>
      <c r="Y108" s="728"/>
      <c r="Z108" s="728"/>
      <c r="AA108" s="728"/>
      <c r="AB108" s="728"/>
      <c r="AC108" s="728"/>
    </row>
    <row r="109" spans="4:30" x14ac:dyDescent="0.3">
      <c r="D109" s="481" t="s">
        <v>533</v>
      </c>
      <c r="F109" s="812"/>
      <c r="G109" s="727"/>
      <c r="H109" s="727">
        <f t="shared" ref="H109:T109" si="28">H13/H119</f>
        <v>0.15062717402761674</v>
      </c>
      <c r="I109" s="727">
        <f t="shared" si="28"/>
        <v>0.15103642270684339</v>
      </c>
      <c r="J109" s="727">
        <f t="shared" si="28"/>
        <v>0.15387605940440088</v>
      </c>
      <c r="K109" s="727">
        <f t="shared" si="28"/>
        <v>0.15183673469387757</v>
      </c>
      <c r="L109" s="727">
        <f t="shared" si="28"/>
        <v>0.1496195679926467</v>
      </c>
      <c r="M109" s="727">
        <f t="shared" si="28"/>
        <v>0.14955735161391731</v>
      </c>
      <c r="N109" s="727">
        <f t="shared" si="28"/>
        <v>0.14822588114733906</v>
      </c>
      <c r="O109" s="727">
        <f t="shared" si="28"/>
        <v>0.14724543781628582</v>
      </c>
      <c r="P109" s="727">
        <f t="shared" si="28"/>
        <v>0.14666765802020501</v>
      </c>
      <c r="Q109" s="727">
        <f t="shared" si="28"/>
        <v>0.1478248151161409</v>
      </c>
      <c r="R109" s="727">
        <f t="shared" si="28"/>
        <v>0.14783370514545832</v>
      </c>
      <c r="S109" s="791">
        <f t="shared" si="28"/>
        <v>0.14749399984175407</v>
      </c>
      <c r="T109" s="807">
        <f t="shared" si="28"/>
        <v>0.1472480157700887</v>
      </c>
      <c r="U109" s="728">
        <f t="shared" ref="U109:AC109" si="29">T109</f>
        <v>0.1472480157700887</v>
      </c>
      <c r="V109" s="728">
        <f t="shared" si="29"/>
        <v>0.1472480157700887</v>
      </c>
      <c r="W109" s="728">
        <f t="shared" si="29"/>
        <v>0.1472480157700887</v>
      </c>
      <c r="X109" s="728">
        <f t="shared" si="29"/>
        <v>0.1472480157700887</v>
      </c>
      <c r="Y109" s="728">
        <f t="shared" si="29"/>
        <v>0.1472480157700887</v>
      </c>
      <c r="Z109" s="728">
        <f t="shared" si="29"/>
        <v>0.1472480157700887</v>
      </c>
      <c r="AA109" s="728">
        <f t="shared" si="29"/>
        <v>0.1472480157700887</v>
      </c>
      <c r="AB109" s="728">
        <f t="shared" si="29"/>
        <v>0.1472480157700887</v>
      </c>
      <c r="AC109" s="728">
        <f t="shared" si="29"/>
        <v>0.1472480157700887</v>
      </c>
    </row>
    <row r="110" spans="4:30" x14ac:dyDescent="0.3">
      <c r="D110" s="481" t="s">
        <v>534</v>
      </c>
      <c r="F110" s="812"/>
      <c r="G110" s="727"/>
      <c r="H110" s="727">
        <f t="shared" ref="H110:T110" si="30">H15/H120</f>
        <v>1.2100690881729256E-2</v>
      </c>
      <c r="I110" s="727">
        <f t="shared" si="30"/>
        <v>1.2922258694477915E-2</v>
      </c>
      <c r="J110" s="727">
        <f t="shared" si="30"/>
        <v>1.016107526552131E-2</v>
      </c>
      <c r="K110" s="727">
        <f t="shared" si="30"/>
        <v>1.0362298192331481E-2</v>
      </c>
      <c r="L110" s="727">
        <f t="shared" si="30"/>
        <v>1.0626628273687096E-2</v>
      </c>
      <c r="M110" s="727">
        <f t="shared" si="30"/>
        <v>1.0349271387502891E-2</v>
      </c>
      <c r="N110" s="727">
        <f t="shared" si="30"/>
        <v>1.1211939165902553E-2</v>
      </c>
      <c r="O110" s="727">
        <f t="shared" si="30"/>
        <v>1.0949198937283633E-2</v>
      </c>
      <c r="P110" s="727">
        <f t="shared" si="30"/>
        <v>1.135730718004601E-2</v>
      </c>
      <c r="Q110" s="727">
        <f t="shared" si="30"/>
        <v>1.1994216227747885E-2</v>
      </c>
      <c r="R110" s="727">
        <f t="shared" si="30"/>
        <v>1.2131183630433398E-2</v>
      </c>
      <c r="S110" s="791">
        <f t="shared" si="30"/>
        <v>1.1560364140069659E-2</v>
      </c>
      <c r="T110" s="807">
        <f t="shared" si="30"/>
        <v>1.0837316398970877E-2</v>
      </c>
      <c r="U110" s="728">
        <f t="shared" ref="U110:AC110" si="31">T110</f>
        <v>1.0837316398970877E-2</v>
      </c>
      <c r="V110" s="728">
        <f t="shared" si="31"/>
        <v>1.0837316398970877E-2</v>
      </c>
      <c r="W110" s="728">
        <f t="shared" si="31"/>
        <v>1.0837316398970877E-2</v>
      </c>
      <c r="X110" s="728">
        <f t="shared" si="31"/>
        <v>1.0837316398970877E-2</v>
      </c>
      <c r="Y110" s="728">
        <f t="shared" si="31"/>
        <v>1.0837316398970877E-2</v>
      </c>
      <c r="Z110" s="728">
        <f t="shared" si="31"/>
        <v>1.0837316398970877E-2</v>
      </c>
      <c r="AA110" s="728">
        <f t="shared" si="31"/>
        <v>1.0837316398970877E-2</v>
      </c>
      <c r="AB110" s="728">
        <f t="shared" si="31"/>
        <v>1.0837316398970877E-2</v>
      </c>
      <c r="AC110" s="728">
        <f t="shared" si="31"/>
        <v>1.0837316398970877E-2</v>
      </c>
    </row>
    <row r="111" spans="4:30" x14ac:dyDescent="0.3">
      <c r="D111" s="387" t="s">
        <v>535</v>
      </c>
      <c r="F111" s="812"/>
      <c r="G111" s="727"/>
      <c r="H111" s="727">
        <f t="shared" ref="H111:S111" si="32">H18/H121</f>
        <v>0.11697176543592926</v>
      </c>
      <c r="I111" s="727">
        <f t="shared" si="32"/>
        <v>0.10545412659102689</v>
      </c>
      <c r="J111" s="727">
        <f t="shared" si="32"/>
        <v>0.11132677978836643</v>
      </c>
      <c r="K111" s="727">
        <f t="shared" si="32"/>
        <v>0.10700112684336878</v>
      </c>
      <c r="L111" s="727">
        <f t="shared" si="32"/>
        <v>0.11630892472013966</v>
      </c>
      <c r="M111" s="727">
        <f t="shared" si="32"/>
        <v>0.11594202898550723</v>
      </c>
      <c r="N111" s="727">
        <f t="shared" si="32"/>
        <v>0.11690415853101242</v>
      </c>
      <c r="O111" s="727">
        <f t="shared" si="32"/>
        <v>0.11448309893905748</v>
      </c>
      <c r="P111" s="727">
        <f t="shared" si="32"/>
        <v>0.12475442043222006</v>
      </c>
      <c r="Q111" s="727">
        <f t="shared" si="32"/>
        <v>0.12899247749414233</v>
      </c>
      <c r="R111" s="791">
        <f t="shared" si="32"/>
        <v>0.13911536492181653</v>
      </c>
      <c r="S111" s="791">
        <f t="shared" si="32"/>
        <v>0.13340122199592669</v>
      </c>
      <c r="T111" s="801">
        <f t="shared" ref="T111" si="33">S111</f>
        <v>0.13340122199592669</v>
      </c>
      <c r="U111" s="728">
        <f>T111+U112</f>
        <v>0.12140122199592669</v>
      </c>
      <c r="V111" s="728">
        <f t="shared" ref="V111:AC111" si="34">U111+V112</f>
        <v>0.12140122199592669</v>
      </c>
      <c r="W111" s="728">
        <f t="shared" si="34"/>
        <v>0.12140122199592669</v>
      </c>
      <c r="X111" s="728">
        <f t="shared" si="34"/>
        <v>0.12140122199592669</v>
      </c>
      <c r="Y111" s="728">
        <f t="shared" si="34"/>
        <v>0.12140122199592669</v>
      </c>
      <c r="Z111" s="728">
        <f t="shared" si="34"/>
        <v>0.12140122199592669</v>
      </c>
      <c r="AA111" s="728">
        <f t="shared" si="34"/>
        <v>0.12140122199592669</v>
      </c>
      <c r="AB111" s="728">
        <f t="shared" si="34"/>
        <v>0.12140122199592669</v>
      </c>
      <c r="AC111" s="728">
        <f t="shared" si="34"/>
        <v>0.12140122199592669</v>
      </c>
    </row>
    <row r="112" spans="4:30" x14ac:dyDescent="0.3">
      <c r="D112" s="387" t="s">
        <v>1916</v>
      </c>
      <c r="F112" s="812"/>
      <c r="G112" s="727"/>
      <c r="H112" s="727"/>
      <c r="I112" s="727"/>
      <c r="J112" s="727"/>
      <c r="K112" s="727"/>
      <c r="L112" s="727"/>
      <c r="M112" s="727"/>
      <c r="N112" s="727"/>
      <c r="O112" s="727"/>
      <c r="P112" s="727"/>
      <c r="Q112" s="727"/>
      <c r="R112" s="791"/>
      <c r="S112" s="791"/>
      <c r="T112" s="801"/>
      <c r="U112" s="728">
        <v>-1.2E-2</v>
      </c>
      <c r="V112" s="728"/>
      <c r="W112" s="728"/>
      <c r="X112" s="728"/>
      <c r="Y112" s="728"/>
      <c r="Z112" s="728"/>
      <c r="AA112" s="728"/>
      <c r="AB112" s="728"/>
      <c r="AC112" s="728"/>
    </row>
    <row r="113" spans="4:32" x14ac:dyDescent="0.3">
      <c r="D113" s="606" t="s">
        <v>563</v>
      </c>
      <c r="F113" s="254"/>
      <c r="G113" s="209"/>
      <c r="H113" s="209"/>
      <c r="I113" s="209"/>
      <c r="J113" s="209"/>
      <c r="K113" s="209"/>
      <c r="L113" s="209"/>
      <c r="M113" s="209"/>
      <c r="N113" s="209"/>
      <c r="O113" s="209"/>
      <c r="P113" s="209"/>
      <c r="Q113" s="209"/>
      <c r="R113" s="209"/>
      <c r="S113" s="209"/>
      <c r="T113" s="542"/>
      <c r="U113" s="280"/>
      <c r="V113" s="280"/>
      <c r="W113" s="280"/>
      <c r="X113" s="280"/>
      <c r="Y113" s="280"/>
      <c r="Z113" s="280"/>
      <c r="AA113" s="280"/>
      <c r="AB113" s="280"/>
      <c r="AC113" s="278"/>
    </row>
    <row r="114" spans="4:32" ht="14.85" customHeight="1" x14ac:dyDescent="0.3">
      <c r="D114" s="836" t="s">
        <v>564</v>
      </c>
      <c r="F114" s="781">
        <f>SUM(F115:F118)</f>
        <v>14677.800000000003</v>
      </c>
      <c r="G114" s="702">
        <f t="shared" ref="G114:O114" si="35">SUM(G115:G118)</f>
        <v>14803.5</v>
      </c>
      <c r="H114" s="702">
        <f t="shared" si="35"/>
        <v>14984.9</v>
      </c>
      <c r="I114" s="702">
        <f t="shared" si="35"/>
        <v>15144.2</v>
      </c>
      <c r="J114" s="702">
        <f t="shared" si="35"/>
        <v>14272.5</v>
      </c>
      <c r="K114" s="702">
        <f t="shared" si="35"/>
        <v>14950.5</v>
      </c>
      <c r="L114" s="702">
        <f t="shared" si="35"/>
        <v>15327.199999999999</v>
      </c>
      <c r="M114" s="702">
        <f t="shared" si="35"/>
        <v>15367.5</v>
      </c>
      <c r="N114" s="702">
        <f t="shared" si="35"/>
        <v>15835.400000000001</v>
      </c>
      <c r="O114" s="702">
        <f t="shared" si="35"/>
        <v>16171.900000000001</v>
      </c>
      <c r="P114" s="702">
        <f t="shared" ref="P114:T114" si="36">SUM(P115:P118)</f>
        <v>16547.599999999999</v>
      </c>
      <c r="Q114" s="702">
        <f t="shared" si="36"/>
        <v>16765.5</v>
      </c>
      <c r="R114" s="702">
        <f t="shared" si="36"/>
        <v>17006.199999999997</v>
      </c>
      <c r="S114" s="783">
        <f t="shared" si="36"/>
        <v>17391.900000000001</v>
      </c>
      <c r="T114" s="808">
        <f t="shared" si="36"/>
        <v>17673.900000000001</v>
      </c>
      <c r="U114" s="280"/>
      <c r="V114" s="280"/>
      <c r="W114" s="280"/>
      <c r="X114" s="280"/>
      <c r="Y114" s="280"/>
      <c r="Z114" s="280"/>
      <c r="AA114" s="280"/>
      <c r="AB114" s="280"/>
      <c r="AC114" s="278"/>
      <c r="AD114" s="852"/>
      <c r="AE114" s="852"/>
      <c r="AF114" s="852"/>
    </row>
    <row r="115" spans="4:32" x14ac:dyDescent="0.3">
      <c r="D115" s="876" t="s">
        <v>838</v>
      </c>
      <c r="E115" s="213" t="s">
        <v>834</v>
      </c>
      <c r="F115" s="781">
        <f>'Haver Pivoted'!GQ81</f>
        <v>9284.7000000000007</v>
      </c>
      <c r="G115" s="702">
        <f>'Haver Pivoted'!GR81</f>
        <v>9340.5</v>
      </c>
      <c r="H115" s="702">
        <f>'Haver Pivoted'!GS81</f>
        <v>9487</v>
      </c>
      <c r="I115" s="702">
        <f>'Haver Pivoted'!GT81</f>
        <v>9634.1</v>
      </c>
      <c r="J115" s="702">
        <f>'Haver Pivoted'!GU81</f>
        <v>9002.7000000000007</v>
      </c>
      <c r="K115" s="702">
        <f>'Haver Pivoted'!GV81</f>
        <v>9432.5</v>
      </c>
      <c r="L115" s="702">
        <f>'Haver Pivoted'!GW81</f>
        <v>9791.5</v>
      </c>
      <c r="M115" s="702">
        <f>'Haver Pivoted'!GX81</f>
        <v>9861.1</v>
      </c>
      <c r="N115" s="702">
        <f>'Haver Pivoted'!GY81</f>
        <v>10148.700000000001</v>
      </c>
      <c r="O115" s="702">
        <f>'Haver Pivoted'!GZ81</f>
        <v>10433.6</v>
      </c>
      <c r="P115" s="702">
        <f>'Haver Pivoted'!HA81</f>
        <v>10759.7</v>
      </c>
      <c r="Q115" s="702">
        <f>'Haver Pivoted'!HB81</f>
        <v>10939.3</v>
      </c>
      <c r="R115" s="702">
        <f>'Haver Pivoted'!HC81</f>
        <v>11071.9</v>
      </c>
      <c r="S115" s="783">
        <f>'Haver Pivoted'!HD81</f>
        <v>11374.7</v>
      </c>
      <c r="T115" s="808">
        <f>'Haver Pivoted'!HE81</f>
        <v>11566.2</v>
      </c>
      <c r="U115" s="280"/>
      <c r="V115" s="280"/>
      <c r="W115" s="280"/>
      <c r="X115" s="280"/>
      <c r="Y115" s="280"/>
      <c r="Z115" s="280"/>
      <c r="AA115" s="280"/>
      <c r="AB115" s="280"/>
      <c r="AC115" s="278"/>
    </row>
    <row r="116" spans="4:32" x14ac:dyDescent="0.3">
      <c r="D116" s="876" t="s">
        <v>565</v>
      </c>
      <c r="E116" s="213" t="s">
        <v>835</v>
      </c>
      <c r="F116" s="781">
        <f>'Haver Pivoted'!GQ82</f>
        <v>1575.2</v>
      </c>
      <c r="G116" s="702">
        <f>'Haver Pivoted'!GR82</f>
        <v>1615.3</v>
      </c>
      <c r="H116" s="702">
        <f>'Haver Pivoted'!GS82</f>
        <v>1631.9</v>
      </c>
      <c r="I116" s="702">
        <f>'Haver Pivoted'!GT82</f>
        <v>1643.2</v>
      </c>
      <c r="J116" s="702">
        <f>'Haver Pivoted'!GU82</f>
        <v>1475.6</v>
      </c>
      <c r="K116" s="702">
        <f>'Haver Pivoted'!GV82</f>
        <v>1751.6</v>
      </c>
      <c r="L116" s="702">
        <f>'Haver Pivoted'!GW82</f>
        <v>1702</v>
      </c>
      <c r="M116" s="702">
        <f>'Haver Pivoted'!GX82</f>
        <v>1655</v>
      </c>
      <c r="N116" s="702">
        <f>'Haver Pivoted'!GY82</f>
        <v>1776.9</v>
      </c>
      <c r="O116" s="702">
        <f>'Haver Pivoted'!GZ82</f>
        <v>1792.7</v>
      </c>
      <c r="P116" s="702">
        <f>'Haver Pivoted'!HA82</f>
        <v>1789.8</v>
      </c>
      <c r="Q116" s="702">
        <f>'Haver Pivoted'!HB82</f>
        <v>1811.4</v>
      </c>
      <c r="R116" s="702">
        <f>'Haver Pivoted'!HC82</f>
        <v>1835.4</v>
      </c>
      <c r="S116" s="783">
        <f>'Haver Pivoted'!HD82</f>
        <v>1863.5</v>
      </c>
      <c r="T116" s="808">
        <f>'Haver Pivoted'!HE82</f>
        <v>1883.5</v>
      </c>
      <c r="U116" s="280"/>
      <c r="V116" s="280"/>
      <c r="W116" s="280"/>
      <c r="X116" s="280"/>
      <c r="Y116" s="280"/>
      <c r="Z116" s="280"/>
      <c r="AA116" s="280"/>
      <c r="AB116" s="280"/>
      <c r="AC116" s="278"/>
    </row>
    <row r="117" spans="4:32" x14ac:dyDescent="0.3">
      <c r="D117" s="876" t="s">
        <v>566</v>
      </c>
      <c r="E117" s="213" t="s">
        <v>841</v>
      </c>
      <c r="F117" s="781">
        <f>'Haver Pivoted'!GQ83</f>
        <v>696.1</v>
      </c>
      <c r="G117" s="702">
        <f>'Haver Pivoted'!GR83</f>
        <v>699.1</v>
      </c>
      <c r="H117" s="702">
        <f>'Haver Pivoted'!GS83</f>
        <v>708</v>
      </c>
      <c r="I117" s="702">
        <f>'Haver Pivoted'!GT83</f>
        <v>722.6</v>
      </c>
      <c r="J117" s="702">
        <f>'Haver Pivoted'!GU83</f>
        <v>717.9</v>
      </c>
      <c r="K117" s="702">
        <f>'Haver Pivoted'!GV83</f>
        <v>722.6</v>
      </c>
      <c r="L117" s="702">
        <f>'Haver Pivoted'!GW83</f>
        <v>716.3</v>
      </c>
      <c r="M117" s="702">
        <f>'Haver Pivoted'!GX83</f>
        <v>719.4</v>
      </c>
      <c r="N117" s="702">
        <f>'Haver Pivoted'!GY83</f>
        <v>713.5</v>
      </c>
      <c r="O117" s="702">
        <f>'Haver Pivoted'!GZ83</f>
        <v>722.7</v>
      </c>
      <c r="P117" s="702">
        <f>'Haver Pivoted'!HA83</f>
        <v>739.6</v>
      </c>
      <c r="Q117" s="702">
        <f>'Haver Pivoted'!HB83</f>
        <v>744.9</v>
      </c>
      <c r="R117" s="702">
        <f>'Haver Pivoted'!HC83</f>
        <v>775.9</v>
      </c>
      <c r="S117" s="783">
        <f>'Haver Pivoted'!HD83</f>
        <v>794.9</v>
      </c>
      <c r="T117" s="808">
        <f>'Haver Pivoted'!HE83</f>
        <v>809.4</v>
      </c>
      <c r="U117" s="280"/>
      <c r="V117" s="280"/>
      <c r="W117" s="280"/>
      <c r="X117" s="280"/>
      <c r="Y117" s="280"/>
      <c r="Z117" s="280"/>
      <c r="AA117" s="280"/>
      <c r="AB117" s="280"/>
      <c r="AC117" s="278"/>
    </row>
    <row r="118" spans="4:32" x14ac:dyDescent="0.3">
      <c r="D118" s="876" t="s">
        <v>567</v>
      </c>
      <c r="E118" s="213" t="s">
        <v>837</v>
      </c>
      <c r="F118" s="781">
        <f>'Haver Pivoted'!GQ84</f>
        <v>3121.8</v>
      </c>
      <c r="G118" s="702">
        <f>'Haver Pivoted'!GR84</f>
        <v>3148.6</v>
      </c>
      <c r="H118" s="702">
        <f>'Haver Pivoted'!GS84</f>
        <v>3158</v>
      </c>
      <c r="I118" s="702">
        <f>'Haver Pivoted'!GT84</f>
        <v>3144.3</v>
      </c>
      <c r="J118" s="702">
        <f>'Haver Pivoted'!GU84</f>
        <v>3076.3</v>
      </c>
      <c r="K118" s="702">
        <f>'Haver Pivoted'!GV84</f>
        <v>3043.8</v>
      </c>
      <c r="L118" s="702">
        <f>'Haver Pivoted'!GW84</f>
        <v>3117.4</v>
      </c>
      <c r="M118" s="702">
        <f>'Haver Pivoted'!GX84</f>
        <v>3132</v>
      </c>
      <c r="N118" s="702">
        <f>'Haver Pivoted'!GY84</f>
        <v>3196.3</v>
      </c>
      <c r="O118" s="702">
        <f>'Haver Pivoted'!GZ84</f>
        <v>3222.9</v>
      </c>
      <c r="P118" s="702">
        <f>'Haver Pivoted'!HA84</f>
        <v>3258.5</v>
      </c>
      <c r="Q118" s="702">
        <f>'Haver Pivoted'!HB84</f>
        <v>3269.9</v>
      </c>
      <c r="R118" s="702">
        <f>'Haver Pivoted'!HC84</f>
        <v>3323</v>
      </c>
      <c r="S118" s="783">
        <f>'Haver Pivoted'!HD84</f>
        <v>3358.8</v>
      </c>
      <c r="T118" s="808">
        <f>'Haver Pivoted'!HE84</f>
        <v>3414.8</v>
      </c>
      <c r="U118" s="280"/>
      <c r="V118" s="280"/>
      <c r="W118" s="280"/>
      <c r="X118" s="280"/>
      <c r="Y118" s="280"/>
      <c r="Z118" s="280"/>
      <c r="AA118" s="280"/>
      <c r="AB118" s="280"/>
      <c r="AC118" s="278"/>
    </row>
    <row r="119" spans="4:32" x14ac:dyDescent="0.3">
      <c r="D119" s="836" t="s">
        <v>553</v>
      </c>
      <c r="F119" s="781">
        <f>F115</f>
        <v>9284.7000000000007</v>
      </c>
      <c r="G119" s="702">
        <f t="shared" ref="G119:O119" si="37">G115</f>
        <v>9340.5</v>
      </c>
      <c r="H119" s="702">
        <f t="shared" si="37"/>
        <v>9487</v>
      </c>
      <c r="I119" s="702">
        <f t="shared" si="37"/>
        <v>9634.1</v>
      </c>
      <c r="J119" s="702">
        <f t="shared" si="37"/>
        <v>9002.7000000000007</v>
      </c>
      <c r="K119" s="702">
        <f t="shared" si="37"/>
        <v>9432.5</v>
      </c>
      <c r="L119" s="702">
        <f t="shared" si="37"/>
        <v>9791.5</v>
      </c>
      <c r="M119" s="702">
        <f t="shared" si="37"/>
        <v>9861.1</v>
      </c>
      <c r="N119" s="702">
        <f t="shared" si="37"/>
        <v>10148.700000000001</v>
      </c>
      <c r="O119" s="702">
        <f t="shared" si="37"/>
        <v>10433.6</v>
      </c>
      <c r="P119" s="702">
        <f t="shared" ref="P119:T119" si="38">P115</f>
        <v>10759.7</v>
      </c>
      <c r="Q119" s="702">
        <f t="shared" si="38"/>
        <v>10939.3</v>
      </c>
      <c r="R119" s="702">
        <f t="shared" si="38"/>
        <v>11071.9</v>
      </c>
      <c r="S119" s="783">
        <f t="shared" si="38"/>
        <v>11374.7</v>
      </c>
      <c r="T119" s="808">
        <f t="shared" si="38"/>
        <v>11566.2</v>
      </c>
      <c r="U119" s="280"/>
      <c r="V119" s="280"/>
      <c r="W119" s="280"/>
      <c r="X119" s="280"/>
      <c r="Y119" s="280"/>
      <c r="Z119" s="280"/>
      <c r="AA119" s="280"/>
      <c r="AB119" s="280"/>
      <c r="AC119" s="278"/>
    </row>
    <row r="120" spans="4:32" x14ac:dyDescent="0.3">
      <c r="D120" s="836" t="s">
        <v>554</v>
      </c>
      <c r="E120" s="213" t="s">
        <v>571</v>
      </c>
      <c r="F120" s="781">
        <f>'Haver Pivoted'!GQ5</f>
        <v>14323.7</v>
      </c>
      <c r="G120" s="702">
        <f>'Haver Pivoted'!GR5</f>
        <v>14482.2</v>
      </c>
      <c r="H120" s="702">
        <f>'Haver Pivoted'!GS5</f>
        <v>14619</v>
      </c>
      <c r="I120" s="702">
        <f>'Haver Pivoted'!GT5</f>
        <v>14440.2</v>
      </c>
      <c r="J120" s="702">
        <f>'Haver Pivoted'!GU5</f>
        <v>13049.8</v>
      </c>
      <c r="K120" s="702">
        <f>'Haver Pivoted'!GV5</f>
        <v>14388.7</v>
      </c>
      <c r="L120" s="702">
        <f>'Haver Pivoted'!GW5</f>
        <v>14586</v>
      </c>
      <c r="M120" s="702">
        <f>'Haver Pivoted'!GX5</f>
        <v>15131.5</v>
      </c>
      <c r="N120" s="702">
        <f>'Haver Pivoted'!GY5</f>
        <v>15813.5</v>
      </c>
      <c r="O120" s="702">
        <f>'Haver Pivoted'!GZ5</f>
        <v>16147.3</v>
      </c>
      <c r="P120" s="702">
        <f>'Haver Pivoted'!HA5</f>
        <v>16518</v>
      </c>
      <c r="Q120" s="702">
        <f>'Haver Pivoted'!HB5</f>
        <v>16874.8</v>
      </c>
      <c r="R120" s="702">
        <f>'Haver Pivoted'!HC5</f>
        <v>17261.3</v>
      </c>
      <c r="S120" s="783">
        <f>'Haver Pivoted'!HD5</f>
        <v>17542.7</v>
      </c>
      <c r="T120" s="808">
        <f>'Haver Pivoted'!HE5</f>
        <v>17762.7</v>
      </c>
      <c r="U120" s="280"/>
      <c r="V120" s="280"/>
      <c r="W120" s="280"/>
      <c r="X120" s="280"/>
      <c r="Y120" s="280"/>
      <c r="Z120" s="280"/>
      <c r="AA120" s="280"/>
      <c r="AB120" s="280"/>
      <c r="AC120" s="278"/>
    </row>
    <row r="121" spans="4:32" x14ac:dyDescent="0.3">
      <c r="D121" s="836" t="s">
        <v>568</v>
      </c>
      <c r="E121" s="213" t="s">
        <v>836</v>
      </c>
      <c r="F121" s="781">
        <f>'Haver Pivoted'!GQ85</f>
        <v>1872</v>
      </c>
      <c r="G121" s="702">
        <f>'Haver Pivoted'!GR85</f>
        <v>1882</v>
      </c>
      <c r="H121" s="702">
        <f>'Haver Pivoted'!GS85</f>
        <v>1933.8</v>
      </c>
      <c r="I121" s="702">
        <f>'Haver Pivoted'!GT85</f>
        <v>1736.3</v>
      </c>
      <c r="J121" s="702">
        <f>'Haver Pivoted'!GU85</f>
        <v>1597.1</v>
      </c>
      <c r="K121" s="702">
        <f>'Haver Pivoted'!GV85</f>
        <v>2041.1</v>
      </c>
      <c r="L121" s="702">
        <f>'Haver Pivoted'!GW85</f>
        <v>1947.4</v>
      </c>
      <c r="M121" s="702">
        <f>'Haver Pivoted'!GX85</f>
        <v>2152.8000000000002</v>
      </c>
      <c r="N121" s="702">
        <f>'Haver Pivoted'!GY85</f>
        <v>2407.1</v>
      </c>
      <c r="O121" s="702">
        <f>'Haver Pivoted'!GZ85</f>
        <v>2431.8000000000002</v>
      </c>
      <c r="P121" s="702">
        <f>'Haver Pivoted'!HA85</f>
        <v>2443.1999999999998</v>
      </c>
      <c r="Q121" s="702">
        <f>'Haver Pivoted'!HB85</f>
        <v>2432.6999999999998</v>
      </c>
      <c r="R121" s="783">
        <f>'Haver Pivoted'!HC85</f>
        <v>2538.9</v>
      </c>
      <c r="S121" s="783">
        <f>'Haver Pivoted'!HD85</f>
        <v>2553.1999999999998</v>
      </c>
      <c r="T121" s="808">
        <f>'Haver Pivoted'!HE85</f>
        <v>0</v>
      </c>
      <c r="U121" s="280"/>
      <c r="V121" s="280"/>
      <c r="W121" s="280"/>
      <c r="X121" s="280"/>
      <c r="Y121" s="280"/>
      <c r="Z121" s="280"/>
      <c r="AA121" s="280"/>
      <c r="AB121" s="280"/>
      <c r="AC121" s="278"/>
    </row>
    <row r="122" spans="4:32" x14ac:dyDescent="0.3">
      <c r="D122" s="606" t="s">
        <v>569</v>
      </c>
      <c r="F122" s="254"/>
      <c r="G122" s="209"/>
      <c r="H122" s="209"/>
      <c r="I122" s="209"/>
      <c r="J122" s="209"/>
      <c r="K122" s="209"/>
      <c r="L122" s="209"/>
      <c r="M122" s="209"/>
      <c r="N122" s="209"/>
      <c r="O122" s="209"/>
      <c r="P122" s="209"/>
      <c r="Q122" s="209"/>
      <c r="R122" s="209"/>
      <c r="S122" s="209"/>
      <c r="T122" s="542"/>
      <c r="U122" s="280"/>
      <c r="V122" s="280"/>
      <c r="W122" s="280"/>
      <c r="X122" s="280"/>
      <c r="Y122" s="280"/>
      <c r="Z122" s="280"/>
      <c r="AA122" s="280"/>
      <c r="AB122" s="280"/>
      <c r="AC122" s="278"/>
    </row>
    <row r="123" spans="4:32" x14ac:dyDescent="0.3">
      <c r="D123" s="767" t="s">
        <v>536</v>
      </c>
      <c r="F123" s="812">
        <f t="shared" ref="F123:T123" si="39">F24/F114</f>
        <v>3.6040823556663798E-2</v>
      </c>
      <c r="G123" s="727">
        <f t="shared" si="39"/>
        <v>3.3451548620258724E-2</v>
      </c>
      <c r="H123" s="727">
        <f t="shared" si="39"/>
        <v>3.2672890709981382E-2</v>
      </c>
      <c r="I123" s="727">
        <f t="shared" si="39"/>
        <v>3.2850860395398897E-2</v>
      </c>
      <c r="J123" s="727">
        <f t="shared" si="39"/>
        <v>3.419162725521107E-2</v>
      </c>
      <c r="K123" s="727">
        <f t="shared" si="39"/>
        <v>3.4473763419283633E-2</v>
      </c>
      <c r="L123" s="727">
        <f t="shared" si="39"/>
        <v>3.4115820241139933E-2</v>
      </c>
      <c r="M123" s="727">
        <f t="shared" si="39"/>
        <v>3.5373352855051249E-2</v>
      </c>
      <c r="N123" s="727">
        <f t="shared" si="39"/>
        <v>3.5780592848933403E-2</v>
      </c>
      <c r="O123" s="727">
        <f t="shared" si="39"/>
        <v>3.3044973070573025E-2</v>
      </c>
      <c r="P123" s="727">
        <f t="shared" si="39"/>
        <v>3.449442819502526E-2</v>
      </c>
      <c r="Q123" s="727">
        <f t="shared" si="39"/>
        <v>3.4672392711222445E-2</v>
      </c>
      <c r="R123" s="727">
        <f t="shared" si="39"/>
        <v>3.4681469111265309E-2</v>
      </c>
      <c r="S123" s="791">
        <f t="shared" si="39"/>
        <v>3.4199828655868528E-2</v>
      </c>
      <c r="T123" s="807">
        <f t="shared" si="39"/>
        <v>3.2935571662168504E-2</v>
      </c>
      <c r="U123" s="728">
        <f t="shared" ref="U123:AC125" si="40">T123</f>
        <v>3.2935571662168504E-2</v>
      </c>
      <c r="V123" s="728">
        <f t="shared" si="40"/>
        <v>3.2935571662168504E-2</v>
      </c>
      <c r="W123" s="728">
        <f t="shared" si="40"/>
        <v>3.2935571662168504E-2</v>
      </c>
      <c r="X123" s="728">
        <f>W123</f>
        <v>3.2935571662168504E-2</v>
      </c>
      <c r="Y123" s="728">
        <f t="shared" si="40"/>
        <v>3.2935571662168504E-2</v>
      </c>
      <c r="Z123" s="728">
        <f t="shared" si="40"/>
        <v>3.2935571662168504E-2</v>
      </c>
      <c r="AA123" s="728">
        <f t="shared" si="40"/>
        <v>3.2935571662168504E-2</v>
      </c>
      <c r="AB123" s="728">
        <f t="shared" si="40"/>
        <v>3.2935571662168504E-2</v>
      </c>
      <c r="AC123" s="801">
        <f t="shared" si="40"/>
        <v>3.2935571662168504E-2</v>
      </c>
    </row>
    <row r="124" spans="4:32" x14ac:dyDescent="0.3">
      <c r="D124" s="767" t="s">
        <v>533</v>
      </c>
      <c r="F124" s="812">
        <f t="shared" ref="F124:T124" si="41">F25/F119</f>
        <v>2.2402447036522452E-3</v>
      </c>
      <c r="G124" s="727">
        <f t="shared" si="41"/>
        <v>2.2161554520635941E-3</v>
      </c>
      <c r="H124" s="727">
        <f t="shared" si="41"/>
        <v>2.1819331717086539E-3</v>
      </c>
      <c r="I124" s="727">
        <f t="shared" si="41"/>
        <v>2.1486179300609291E-3</v>
      </c>
      <c r="J124" s="727">
        <f t="shared" si="41"/>
        <v>2.1993401979406176E-3</v>
      </c>
      <c r="K124" s="727">
        <f t="shared" si="41"/>
        <v>2.1733368672144184E-3</v>
      </c>
      <c r="L124" s="727">
        <f t="shared" si="41"/>
        <v>2.1753561762753409E-3</v>
      </c>
      <c r="M124" s="727">
        <f t="shared" si="41"/>
        <v>2.2309884292827371E-3</v>
      </c>
      <c r="N124" s="727">
        <f t="shared" si="41"/>
        <v>2.2367396809443571E-3</v>
      </c>
      <c r="O124" s="727">
        <f t="shared" si="41"/>
        <v>2.2235853396718294E-3</v>
      </c>
      <c r="P124" s="727">
        <f t="shared" si="41"/>
        <v>2.1747818247720659E-3</v>
      </c>
      <c r="Q124" s="727">
        <f t="shared" si="41"/>
        <v>2.1390765405464702E-3</v>
      </c>
      <c r="R124" s="727">
        <f t="shared" si="41"/>
        <v>2.1315221416378402E-3</v>
      </c>
      <c r="S124" s="791">
        <f t="shared" si="41"/>
        <v>2.1011543161577884E-3</v>
      </c>
      <c r="T124" s="807">
        <f t="shared" si="41"/>
        <v>2.1182410817727516E-3</v>
      </c>
      <c r="U124" s="728">
        <f t="shared" si="40"/>
        <v>2.1182410817727516E-3</v>
      </c>
      <c r="V124" s="728">
        <f t="shared" si="40"/>
        <v>2.1182410817727516E-3</v>
      </c>
      <c r="W124" s="728">
        <f t="shared" si="40"/>
        <v>2.1182410817727516E-3</v>
      </c>
      <c r="X124" s="728">
        <f>W124</f>
        <v>2.1182410817727516E-3</v>
      </c>
      <c r="Y124" s="728">
        <f t="shared" si="40"/>
        <v>2.1182410817727516E-3</v>
      </c>
      <c r="Z124" s="728">
        <f t="shared" si="40"/>
        <v>2.1182410817727516E-3</v>
      </c>
      <c r="AA124" s="728">
        <f t="shared" si="40"/>
        <v>2.1182410817727516E-3</v>
      </c>
      <c r="AB124" s="728">
        <f t="shared" si="40"/>
        <v>2.1182410817727516E-3</v>
      </c>
      <c r="AC124" s="801">
        <f t="shared" si="40"/>
        <v>2.1182410817727516E-3</v>
      </c>
    </row>
    <row r="125" spans="4:32" x14ac:dyDescent="0.3">
      <c r="D125" s="767" t="s">
        <v>534</v>
      </c>
      <c r="F125" s="812">
        <f t="shared" ref="F125:T125" si="42">F26/F120</f>
        <v>9.3886356178920244E-2</v>
      </c>
      <c r="G125" s="727">
        <f t="shared" si="42"/>
        <v>9.4826752841419115E-2</v>
      </c>
      <c r="H125" s="727">
        <f t="shared" si="42"/>
        <v>9.3898351460428214E-2</v>
      </c>
      <c r="I125" s="727">
        <f t="shared" si="42"/>
        <v>9.5518067616792005E-2</v>
      </c>
      <c r="J125" s="727">
        <f t="shared" si="42"/>
        <v>9.9143281889377613E-2</v>
      </c>
      <c r="K125" s="727">
        <f t="shared" si="42"/>
        <v>9.7117877223098684E-2</v>
      </c>
      <c r="L125" s="727">
        <f t="shared" si="42"/>
        <v>9.6764020293432063E-2</v>
      </c>
      <c r="M125" s="727">
        <f t="shared" si="42"/>
        <v>9.4306578990846907E-2</v>
      </c>
      <c r="N125" s="727">
        <f t="shared" si="42"/>
        <v>9.4817719037531223E-2</v>
      </c>
      <c r="O125" s="727">
        <f t="shared" si="42"/>
        <v>9.309296291020791E-2</v>
      </c>
      <c r="P125" s="727">
        <f t="shared" si="42"/>
        <v>9.236590386245308E-2</v>
      </c>
      <c r="Q125" s="727">
        <f t="shared" si="42"/>
        <v>9.1716642567615622E-2</v>
      </c>
      <c r="R125" s="727">
        <f t="shared" si="42"/>
        <v>9.072897174604462E-2</v>
      </c>
      <c r="S125" s="791">
        <f t="shared" si="42"/>
        <v>9.0197062025799898E-2</v>
      </c>
      <c r="T125" s="807">
        <f t="shared" si="42"/>
        <v>8.9682311810704449E-2</v>
      </c>
      <c r="U125" s="728">
        <f t="shared" si="40"/>
        <v>8.9682311810704449E-2</v>
      </c>
      <c r="V125" s="728">
        <f t="shared" si="40"/>
        <v>8.9682311810704449E-2</v>
      </c>
      <c r="W125" s="728">
        <f t="shared" si="40"/>
        <v>8.9682311810704449E-2</v>
      </c>
      <c r="X125" s="728">
        <f>W125</f>
        <v>8.9682311810704449E-2</v>
      </c>
      <c r="Y125" s="728">
        <f t="shared" si="40"/>
        <v>8.9682311810704449E-2</v>
      </c>
      <c r="Z125" s="728">
        <f t="shared" si="40"/>
        <v>8.9682311810704449E-2</v>
      </c>
      <c r="AA125" s="728">
        <f t="shared" si="40"/>
        <v>8.9682311810704449E-2</v>
      </c>
      <c r="AB125" s="728">
        <f t="shared" si="40"/>
        <v>8.9682311810704449E-2</v>
      </c>
      <c r="AC125" s="801">
        <f t="shared" si="40"/>
        <v>8.9682311810704449E-2</v>
      </c>
    </row>
    <row r="126" spans="4:32" x14ac:dyDescent="0.3">
      <c r="D126" s="771" t="s">
        <v>570</v>
      </c>
      <c r="E126" s="264"/>
      <c r="F126" s="777">
        <f t="shared" ref="F126:S126" si="43">F27/F121</f>
        <v>3.9797008547008544E-2</v>
      </c>
      <c r="G126" s="778">
        <f t="shared" si="43"/>
        <v>3.9001062699256114E-2</v>
      </c>
      <c r="H126" s="778">
        <f t="shared" si="43"/>
        <v>3.728410383700486E-2</v>
      </c>
      <c r="I126" s="778">
        <f t="shared" si="43"/>
        <v>3.8990957783793127E-2</v>
      </c>
      <c r="J126" s="778">
        <f t="shared" si="43"/>
        <v>4.0698766514307184E-2</v>
      </c>
      <c r="K126" s="778">
        <f t="shared" si="43"/>
        <v>3.9635490666797321E-2</v>
      </c>
      <c r="L126" s="778">
        <f t="shared" si="43"/>
        <v>4.3545239806922049E-2</v>
      </c>
      <c r="M126" s="778">
        <f t="shared" si="43"/>
        <v>4.0876997398736528E-2</v>
      </c>
      <c r="N126" s="778">
        <f t="shared" si="43"/>
        <v>3.7514021021145774E-2</v>
      </c>
      <c r="O126" s="778">
        <f t="shared" si="43"/>
        <v>3.8818981824163171E-2</v>
      </c>
      <c r="P126" s="778">
        <f t="shared" si="43"/>
        <v>4.52275703994761E-2</v>
      </c>
      <c r="Q126" s="778">
        <f t="shared" si="43"/>
        <v>6.8195831791836234E-2</v>
      </c>
      <c r="R126" s="809">
        <f t="shared" si="43"/>
        <v>4.3247075505140016E-2</v>
      </c>
      <c r="S126" s="809">
        <f t="shared" si="43"/>
        <v>3.9440701864327125E-2</v>
      </c>
      <c r="T126" s="803">
        <f>S126</f>
        <v>3.9440701864327125E-2</v>
      </c>
      <c r="U126" s="802">
        <f t="shared" ref="U126:AC126" si="44">T126</f>
        <v>3.9440701864327125E-2</v>
      </c>
      <c r="V126" s="802">
        <f t="shared" si="44"/>
        <v>3.9440701864327125E-2</v>
      </c>
      <c r="W126" s="802">
        <f t="shared" si="44"/>
        <v>3.9440701864327125E-2</v>
      </c>
      <c r="X126" s="802">
        <f>W126</f>
        <v>3.9440701864327125E-2</v>
      </c>
      <c r="Y126" s="802">
        <f t="shared" si="44"/>
        <v>3.9440701864327125E-2</v>
      </c>
      <c r="Z126" s="802">
        <f t="shared" si="44"/>
        <v>3.9440701864327125E-2</v>
      </c>
      <c r="AA126" s="802">
        <f t="shared" si="44"/>
        <v>3.9440701864327125E-2</v>
      </c>
      <c r="AB126" s="802">
        <f t="shared" si="44"/>
        <v>3.9440701864327125E-2</v>
      </c>
      <c r="AC126" s="803">
        <f t="shared" si="44"/>
        <v>3.9440701864327125E-2</v>
      </c>
    </row>
    <row r="130" spans="4:29" x14ac:dyDescent="0.3">
      <c r="D130" s="1391" t="s">
        <v>1790</v>
      </c>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391"/>
      <c r="AB130" s="1391"/>
      <c r="AC130" s="1391"/>
    </row>
    <row r="131" spans="4:29" x14ac:dyDescent="0.3">
      <c r="D131" s="619" t="s">
        <v>1783</v>
      </c>
      <c r="E131" s="86"/>
      <c r="F131" s="793"/>
      <c r="G131" s="793"/>
      <c r="H131" s="793"/>
      <c r="I131" s="793"/>
      <c r="J131" s="793"/>
      <c r="K131" s="793"/>
      <c r="L131" s="793"/>
      <c r="M131" s="793"/>
      <c r="N131" s="793"/>
      <c r="O131" s="793"/>
      <c r="P131" s="793"/>
      <c r="Q131" s="793"/>
      <c r="R131" s="793"/>
      <c r="S131" s="653"/>
      <c r="T131" s="793"/>
      <c r="U131" s="196"/>
      <c r="V131" s="196"/>
      <c r="W131" s="196"/>
      <c r="X131" s="196"/>
      <c r="Y131" s="196"/>
      <c r="Z131" s="196"/>
      <c r="AA131" s="196"/>
      <c r="AB131" s="196"/>
      <c r="AC131" s="197"/>
    </row>
    <row r="132" spans="4:29" x14ac:dyDescent="0.3">
      <c r="D132" s="836" t="s">
        <v>564</v>
      </c>
      <c r="E132" s="168"/>
      <c r="F132" s="727"/>
      <c r="G132" s="727">
        <f>(G114/F114)^4-1</f>
        <v>3.4698380469732282E-2</v>
      </c>
      <c r="H132" s="727">
        <f t="shared" ref="H132:S132" si="45">(H114/G114)^4-1</f>
        <v>4.9923760445010679E-2</v>
      </c>
      <c r="I132" s="727">
        <f t="shared" si="45"/>
        <v>4.3205695538489852E-2</v>
      </c>
      <c r="J132" s="727">
        <f t="shared" si="45"/>
        <v>-0.21111288829196628</v>
      </c>
      <c r="K132" s="727">
        <f t="shared" si="45"/>
        <v>0.2039893976975653</v>
      </c>
      <c r="L132" s="727">
        <f t="shared" si="45"/>
        <v>0.10465949131480801</v>
      </c>
      <c r="M132" s="727">
        <f t="shared" si="45"/>
        <v>1.0558802843273263E-2</v>
      </c>
      <c r="N132" s="727">
        <f t="shared" si="45"/>
        <v>0.12746550927768152</v>
      </c>
      <c r="O132" s="727">
        <f t="shared" si="45"/>
        <v>8.7747356366950635E-2</v>
      </c>
      <c r="P132" s="727">
        <f t="shared" si="45"/>
        <v>9.6215323061816349E-2</v>
      </c>
      <c r="Q132" s="727">
        <f t="shared" si="45"/>
        <v>5.3721843023527782E-2</v>
      </c>
      <c r="R132" s="727">
        <f t="shared" si="45"/>
        <v>5.8676051825151676E-2</v>
      </c>
      <c r="S132" s="727">
        <f t="shared" si="45"/>
        <v>9.3853068788779082E-2</v>
      </c>
      <c r="T132" s="209"/>
      <c r="U132" s="280"/>
      <c r="V132" s="280"/>
      <c r="W132" s="280"/>
      <c r="X132" s="280"/>
      <c r="Y132" s="280"/>
      <c r="Z132" s="280"/>
      <c r="AA132" s="280"/>
      <c r="AB132" s="280"/>
      <c r="AC132" s="278"/>
    </row>
    <row r="133" spans="4:29" x14ac:dyDescent="0.3">
      <c r="D133" s="876" t="s">
        <v>838</v>
      </c>
      <c r="E133" s="610"/>
      <c r="F133" s="727"/>
      <c r="G133" s="727">
        <f t="shared" ref="G133:S133" si="46">(G115/F115)^4-1</f>
        <v>2.4257130985616993E-2</v>
      </c>
      <c r="H133" s="727">
        <f t="shared" si="46"/>
        <v>6.4229034399477136E-2</v>
      </c>
      <c r="I133" s="727">
        <f t="shared" si="46"/>
        <v>6.3479192755366398E-2</v>
      </c>
      <c r="J133" s="727">
        <f t="shared" si="46"/>
        <v>-0.23748829732952048</v>
      </c>
      <c r="K133" s="727">
        <f t="shared" si="46"/>
        <v>0.20508073180198716</v>
      </c>
      <c r="L133" s="727">
        <f t="shared" si="46"/>
        <v>0.1611535586248285</v>
      </c>
      <c r="M133" s="727">
        <f t="shared" si="46"/>
        <v>2.873742311872407E-2</v>
      </c>
      <c r="N133" s="727">
        <f t="shared" si="46"/>
        <v>0.12186398788851394</v>
      </c>
      <c r="O133" s="727">
        <f t="shared" si="46"/>
        <v>0.11710776964011727</v>
      </c>
      <c r="P133" s="727">
        <f t="shared" si="46"/>
        <v>0.13100342179485458</v>
      </c>
      <c r="Q133" s="727">
        <f t="shared" si="46"/>
        <v>6.8458061444058416E-2</v>
      </c>
      <c r="R133" s="727">
        <f t="shared" si="46"/>
        <v>4.9374455409313622E-2</v>
      </c>
      <c r="S133" s="727">
        <f t="shared" si="46"/>
        <v>0.11396407828544985</v>
      </c>
      <c r="T133" s="209"/>
      <c r="U133" s="280"/>
      <c r="V133" s="280"/>
      <c r="W133" s="280"/>
      <c r="X133" s="280"/>
      <c r="Y133" s="280"/>
      <c r="Z133" s="280"/>
      <c r="AA133" s="280"/>
      <c r="AB133" s="280"/>
      <c r="AC133" s="278"/>
    </row>
    <row r="134" spans="4:29" x14ac:dyDescent="0.3">
      <c r="D134" s="876" t="s">
        <v>565</v>
      </c>
      <c r="E134" s="610"/>
      <c r="F134" s="727"/>
      <c r="G134" s="727">
        <f t="shared" ref="G134:S134" si="47">(G116/F116)^4-1</f>
        <v>0.10578312944398705</v>
      </c>
      <c r="H134" s="727">
        <f t="shared" si="47"/>
        <v>4.1744934553236801E-2</v>
      </c>
      <c r="I134" s="727">
        <f t="shared" si="47"/>
        <v>2.7986793488743444E-2</v>
      </c>
      <c r="J134" s="727">
        <f t="shared" si="47"/>
        <v>-0.34970130690663714</v>
      </c>
      <c r="K134" s="727">
        <f t="shared" si="47"/>
        <v>0.98547836855144699</v>
      </c>
      <c r="L134" s="727">
        <f t="shared" si="47"/>
        <v>-0.1085469464882084</v>
      </c>
      <c r="M134" s="727">
        <f t="shared" si="47"/>
        <v>-0.10596654721724863</v>
      </c>
      <c r="N134" s="727">
        <f t="shared" si="47"/>
        <v>0.32880103280025574</v>
      </c>
      <c r="O134" s="727">
        <f t="shared" si="47"/>
        <v>3.6044774195732154E-2</v>
      </c>
      <c r="P134" s="727">
        <f t="shared" si="47"/>
        <v>-6.4550024300153996E-3</v>
      </c>
      <c r="Q134" s="727">
        <f t="shared" si="47"/>
        <v>4.9154478043828886E-2</v>
      </c>
      <c r="R134" s="727">
        <f t="shared" si="47"/>
        <v>5.4060298595324685E-2</v>
      </c>
      <c r="S134" s="727">
        <f t="shared" si="47"/>
        <v>6.2660845264692622E-2</v>
      </c>
      <c r="T134" s="209"/>
      <c r="U134" s="280"/>
      <c r="V134" s="280"/>
      <c r="W134" s="280"/>
      <c r="X134" s="280"/>
      <c r="Y134" s="280"/>
      <c r="Z134" s="280"/>
      <c r="AA134" s="280"/>
      <c r="AB134" s="280"/>
      <c r="AC134" s="278"/>
    </row>
    <row r="135" spans="4:29" x14ac:dyDescent="0.3">
      <c r="D135" s="876" t="s">
        <v>566</v>
      </c>
      <c r="E135" s="610"/>
      <c r="F135" s="727"/>
      <c r="G135" s="727">
        <f t="shared" ref="G135:S135" si="48">(G117/F117)^4-1</f>
        <v>1.7350665401546284E-2</v>
      </c>
      <c r="H135" s="727">
        <f t="shared" si="48"/>
        <v>5.1903311323329371E-2</v>
      </c>
      <c r="I135" s="727">
        <f t="shared" si="48"/>
        <v>8.5072603128263369E-2</v>
      </c>
      <c r="J135" s="727">
        <f t="shared" si="48"/>
        <v>-2.5764424405961162E-2</v>
      </c>
      <c r="K135" s="727">
        <f t="shared" si="48"/>
        <v>2.6445784830072538E-2</v>
      </c>
      <c r="L135" s="727">
        <f t="shared" si="48"/>
        <v>-3.4420635784840226E-2</v>
      </c>
      <c r="M135" s="727">
        <f t="shared" si="48"/>
        <v>1.7423885940878847E-2</v>
      </c>
      <c r="N135" s="727">
        <f t="shared" si="48"/>
        <v>-3.2403751505907019E-2</v>
      </c>
      <c r="O135" s="727">
        <f t="shared" si="48"/>
        <v>5.2582897021147934E-2</v>
      </c>
      <c r="P135" s="727">
        <f t="shared" si="48"/>
        <v>9.6870587526498575E-2</v>
      </c>
      <c r="Q135" s="727">
        <f t="shared" si="48"/>
        <v>2.8973729785401803E-2</v>
      </c>
      <c r="R135" s="727">
        <f t="shared" si="48"/>
        <v>0.17714811192574409</v>
      </c>
      <c r="S135" s="727">
        <f t="shared" si="48"/>
        <v>0.101607744588458</v>
      </c>
      <c r="T135" s="209"/>
      <c r="U135" s="280"/>
      <c r="V135" s="280"/>
      <c r="W135" s="280"/>
      <c r="X135" s="280"/>
      <c r="Y135" s="280"/>
      <c r="Z135" s="280"/>
      <c r="AA135" s="280"/>
      <c r="AB135" s="280"/>
      <c r="AC135" s="278"/>
    </row>
    <row r="136" spans="4:29" x14ac:dyDescent="0.3">
      <c r="D136" s="876" t="s">
        <v>567</v>
      </c>
      <c r="E136" s="610"/>
      <c r="F136" s="727"/>
      <c r="G136" s="727">
        <f t="shared" ref="G136:S136" si="49">(G118/F118)^4-1</f>
        <v>3.4783891285258939E-2</v>
      </c>
      <c r="H136" s="727">
        <f t="shared" si="49"/>
        <v>1.1995399534317164E-2</v>
      </c>
      <c r="I136" s="727">
        <f t="shared" si="49"/>
        <v>-1.72401618421828E-2</v>
      </c>
      <c r="J136" s="727">
        <f t="shared" si="49"/>
        <v>-8.3739764588403598E-2</v>
      </c>
      <c r="K136" s="727">
        <f t="shared" si="49"/>
        <v>-4.1593591819862108E-2</v>
      </c>
      <c r="L136" s="727">
        <f t="shared" si="49"/>
        <v>0.10028621896444267</v>
      </c>
      <c r="M136" s="727">
        <f t="shared" si="49"/>
        <v>1.8865576255239436E-2</v>
      </c>
      <c r="N136" s="727">
        <f t="shared" si="49"/>
        <v>8.4683729354623427E-2</v>
      </c>
      <c r="O136" s="727">
        <f t="shared" si="49"/>
        <v>3.3706346430805167E-2</v>
      </c>
      <c r="P136" s="727">
        <f t="shared" si="49"/>
        <v>4.492129388861188E-2</v>
      </c>
      <c r="Q136" s="727">
        <f t="shared" si="49"/>
        <v>1.4067779320086293E-2</v>
      </c>
      <c r="R136" s="727">
        <f t="shared" si="49"/>
        <v>6.6555550049419487E-2</v>
      </c>
      <c r="S136" s="727">
        <f t="shared" si="49"/>
        <v>4.3795001871779204E-2</v>
      </c>
      <c r="T136" s="209"/>
      <c r="U136" s="280"/>
      <c r="V136" s="280"/>
      <c r="W136" s="280"/>
      <c r="X136" s="280"/>
      <c r="Y136" s="280"/>
      <c r="Z136" s="280"/>
      <c r="AA136" s="280"/>
      <c r="AB136" s="280"/>
      <c r="AC136" s="278"/>
    </row>
    <row r="137" spans="4:29" x14ac:dyDescent="0.3">
      <c r="D137" s="836" t="s">
        <v>553</v>
      </c>
      <c r="E137" s="168"/>
      <c r="F137" s="727"/>
      <c r="G137" s="727">
        <f t="shared" ref="G137:S137" si="50">(G119/F119)^4-1</f>
        <v>2.4257130985616993E-2</v>
      </c>
      <c r="H137" s="727">
        <f t="shared" si="50"/>
        <v>6.4229034399477136E-2</v>
      </c>
      <c r="I137" s="727">
        <f t="shared" si="50"/>
        <v>6.3479192755366398E-2</v>
      </c>
      <c r="J137" s="727">
        <f t="shared" si="50"/>
        <v>-0.23748829732952048</v>
      </c>
      <c r="K137" s="727">
        <f t="shared" si="50"/>
        <v>0.20508073180198716</v>
      </c>
      <c r="L137" s="727">
        <f t="shared" si="50"/>
        <v>0.1611535586248285</v>
      </c>
      <c r="M137" s="727">
        <f t="shared" si="50"/>
        <v>2.873742311872407E-2</v>
      </c>
      <c r="N137" s="727">
        <f t="shared" si="50"/>
        <v>0.12186398788851394</v>
      </c>
      <c r="O137" s="727">
        <f t="shared" si="50"/>
        <v>0.11710776964011727</v>
      </c>
      <c r="P137" s="727">
        <f t="shared" si="50"/>
        <v>0.13100342179485458</v>
      </c>
      <c r="Q137" s="727">
        <f t="shared" si="50"/>
        <v>6.8458061444058416E-2</v>
      </c>
      <c r="R137" s="727">
        <f t="shared" si="50"/>
        <v>4.9374455409313622E-2</v>
      </c>
      <c r="S137" s="727">
        <f t="shared" si="50"/>
        <v>0.11396407828544985</v>
      </c>
      <c r="T137" s="209"/>
      <c r="U137" s="280"/>
      <c r="V137" s="280"/>
      <c r="W137" s="280"/>
      <c r="X137" s="280"/>
      <c r="Y137" s="280"/>
      <c r="Z137" s="280"/>
      <c r="AA137" s="280"/>
      <c r="AB137" s="280"/>
      <c r="AC137" s="278"/>
    </row>
    <row r="138" spans="4:29" x14ac:dyDescent="0.3">
      <c r="D138" s="836" t="s">
        <v>554</v>
      </c>
      <c r="E138" s="610"/>
      <c r="F138" s="727"/>
      <c r="G138" s="727">
        <f t="shared" ref="G138:S138" si="51">(G120/F120)^4-1</f>
        <v>4.5002423223402754E-2</v>
      </c>
      <c r="H138" s="727">
        <f t="shared" si="51"/>
        <v>3.8323064342955293E-2</v>
      </c>
      <c r="I138" s="727">
        <f t="shared" si="51"/>
        <v>-4.8032396760868568E-2</v>
      </c>
      <c r="J138" s="727">
        <f t="shared" si="51"/>
        <v>-0.33300498256979416</v>
      </c>
      <c r="K138" s="727">
        <f t="shared" si="51"/>
        <v>0.47798765988551417</v>
      </c>
      <c r="L138" s="727">
        <f t="shared" si="51"/>
        <v>5.5987082820652123E-2</v>
      </c>
      <c r="M138" s="727">
        <f t="shared" si="51"/>
        <v>0.15819874984710092</v>
      </c>
      <c r="N138" s="727">
        <f t="shared" si="51"/>
        <v>0.1928451879925992</v>
      </c>
      <c r="O138" s="727">
        <f t="shared" si="51"/>
        <v>8.7145430326741824E-2</v>
      </c>
      <c r="P138" s="727">
        <f t="shared" si="51"/>
        <v>9.5040522503139657E-2</v>
      </c>
      <c r="Q138" s="727">
        <f t="shared" si="51"/>
        <v>8.9242780231497676E-2</v>
      </c>
      <c r="R138" s="727">
        <f t="shared" si="51"/>
        <v>9.481178927373124E-2</v>
      </c>
      <c r="S138" s="727">
        <f t="shared" si="51"/>
        <v>6.6821460633025076E-2</v>
      </c>
      <c r="T138" s="209"/>
      <c r="U138" s="280"/>
      <c r="V138" s="280"/>
      <c r="W138" s="280"/>
      <c r="X138" s="280"/>
      <c r="Y138" s="280"/>
      <c r="Z138" s="280"/>
      <c r="AA138" s="280"/>
      <c r="AB138" s="280"/>
      <c r="AC138" s="278"/>
    </row>
    <row r="139" spans="4:29" x14ac:dyDescent="0.3">
      <c r="D139" s="797" t="s">
        <v>568</v>
      </c>
      <c r="E139" s="398"/>
      <c r="F139" s="778"/>
      <c r="G139" s="778">
        <f t="shared" ref="G139:S139" si="52">(G121/F121)^4-1</f>
        <v>2.1539346032199758E-2</v>
      </c>
      <c r="H139" s="778">
        <f t="shared" si="52"/>
        <v>0.11472501548972591</v>
      </c>
      <c r="I139" s="778">
        <f t="shared" si="52"/>
        <v>-0.35009057164746982</v>
      </c>
      <c r="J139" s="778">
        <f t="shared" si="52"/>
        <v>-0.28413788741165624</v>
      </c>
      <c r="K139" s="778">
        <f t="shared" si="52"/>
        <v>1.667649037274042</v>
      </c>
      <c r="L139" s="778">
        <f t="shared" si="52"/>
        <v>-0.17136450639292922</v>
      </c>
      <c r="M139" s="778">
        <f t="shared" si="52"/>
        <v>0.49346165457827729</v>
      </c>
      <c r="N139" s="778">
        <f t="shared" si="52"/>
        <v>0.56301012914725668</v>
      </c>
      <c r="O139" s="778">
        <f t="shared" si="52"/>
        <v>4.1681341019436546E-2</v>
      </c>
      <c r="P139" s="778">
        <f t="shared" si="52"/>
        <v>1.8883812263239985E-2</v>
      </c>
      <c r="Q139" s="778">
        <f t="shared" si="52"/>
        <v>-1.7080068525602621E-2</v>
      </c>
      <c r="R139" s="778">
        <f t="shared" si="52"/>
        <v>0.18639186970056576</v>
      </c>
      <c r="S139" s="778">
        <f t="shared" si="52"/>
        <v>2.2720498509915421E-2</v>
      </c>
      <c r="T139" s="537"/>
      <c r="U139" s="247"/>
      <c r="V139" s="247"/>
      <c r="W139" s="247"/>
      <c r="X139" s="247"/>
      <c r="Y139" s="247"/>
      <c r="Z139" s="247"/>
      <c r="AA139" s="247"/>
      <c r="AB139" s="247"/>
      <c r="AC139" s="248"/>
    </row>
    <row r="142" spans="4:29" x14ac:dyDescent="0.3">
      <c r="D142" s="1391" t="s">
        <v>1791</v>
      </c>
      <c r="E142" s="1391"/>
      <c r="F142" s="1391"/>
      <c r="G142" s="1391"/>
      <c r="H142" s="1391"/>
      <c r="I142" s="1391"/>
      <c r="J142" s="1391"/>
      <c r="K142" s="1391"/>
      <c r="L142" s="1391"/>
      <c r="M142" s="1391"/>
      <c r="N142" s="1391"/>
      <c r="O142" s="1391"/>
      <c r="P142" s="1391"/>
      <c r="Q142" s="1392"/>
      <c r="R142" s="1392"/>
      <c r="S142" s="1392"/>
      <c r="T142" s="1392"/>
      <c r="U142" s="1391"/>
      <c r="V142" s="1391"/>
      <c r="W142" s="1391"/>
      <c r="X142" s="1391"/>
      <c r="Y142" s="1391"/>
      <c r="Z142" s="1391"/>
      <c r="AA142" s="1391"/>
      <c r="AB142" s="1391"/>
      <c r="AC142" s="1391"/>
    </row>
    <row r="143" spans="4:29" x14ac:dyDescent="0.3">
      <c r="D143" s="1369" t="s">
        <v>957</v>
      </c>
      <c r="E143" s="1376"/>
      <c r="F143" s="1273">
        <v>2019</v>
      </c>
      <c r="G143" s="1278"/>
      <c r="H143" s="1279"/>
      <c r="I143" s="1273">
        <v>2020</v>
      </c>
      <c r="J143" s="1278"/>
      <c r="K143" s="1278"/>
      <c r="L143" s="1279"/>
      <c r="M143" s="1273">
        <v>2021</v>
      </c>
      <c r="N143" s="1278"/>
      <c r="O143" s="1278"/>
      <c r="P143" s="1278"/>
      <c r="Q143" s="1273">
        <v>2022</v>
      </c>
      <c r="R143" s="1274"/>
      <c r="S143" s="1274"/>
      <c r="T143" s="1279"/>
      <c r="U143" s="1284">
        <v>2023</v>
      </c>
      <c r="V143" s="1285"/>
      <c r="W143" s="1285"/>
      <c r="X143" s="1286"/>
      <c r="Y143" s="1287">
        <v>2024</v>
      </c>
      <c r="Z143" s="1285"/>
      <c r="AA143" s="1285"/>
      <c r="AB143" s="1285"/>
      <c r="AC143" s="233">
        <v>2025</v>
      </c>
    </row>
    <row r="144" spans="4:29" x14ac:dyDescent="0.3">
      <c r="D144" s="1377"/>
      <c r="E144" s="1378"/>
      <c r="F144" s="163" t="s">
        <v>329</v>
      </c>
      <c r="G144" s="176" t="s">
        <v>238</v>
      </c>
      <c r="H144" s="159" t="s">
        <v>327</v>
      </c>
      <c r="I144" s="163" t="s">
        <v>328</v>
      </c>
      <c r="J144" s="176" t="s">
        <v>329</v>
      </c>
      <c r="K144" s="176" t="s">
        <v>238</v>
      </c>
      <c r="L144" s="159" t="s">
        <v>327</v>
      </c>
      <c r="M144" s="163" t="s">
        <v>328</v>
      </c>
      <c r="N144" s="176" t="s">
        <v>329</v>
      </c>
      <c r="O144" s="176" t="s">
        <v>238</v>
      </c>
      <c r="P144" s="176" t="s">
        <v>327</v>
      </c>
      <c r="Q144" s="163" t="s">
        <v>328</v>
      </c>
      <c r="R144" s="176" t="s">
        <v>329</v>
      </c>
      <c r="S144" s="176" t="s">
        <v>238</v>
      </c>
      <c r="T144" s="159" t="s">
        <v>327</v>
      </c>
      <c r="U144" s="280" t="s">
        <v>328</v>
      </c>
      <c r="V144" s="280" t="s">
        <v>329</v>
      </c>
      <c r="W144" s="280" t="s">
        <v>238</v>
      </c>
      <c r="X144" s="278" t="s">
        <v>327</v>
      </c>
      <c r="Y144" s="348" t="s">
        <v>328</v>
      </c>
      <c r="Z144" s="228" t="s">
        <v>329</v>
      </c>
      <c r="AA144" s="280" t="s">
        <v>238</v>
      </c>
      <c r="AB144" s="280" t="s">
        <v>327</v>
      </c>
      <c r="AC144" s="373" t="s">
        <v>328</v>
      </c>
    </row>
    <row r="145" spans="3:30" x14ac:dyDescent="0.3">
      <c r="D145" s="884" t="s">
        <v>552</v>
      </c>
      <c r="E145" s="859"/>
      <c r="F145" s="284">
        <f>F147+F149</f>
        <v>14660.3</v>
      </c>
      <c r="G145" s="285">
        <f t="shared" ref="G145:P145" si="53">G147+G149</f>
        <v>14748</v>
      </c>
      <c r="H145" s="285">
        <f t="shared" si="53"/>
        <v>14896.1</v>
      </c>
      <c r="I145" s="285">
        <f t="shared" si="53"/>
        <v>5492.6</v>
      </c>
      <c r="J145" s="285">
        <f t="shared" si="53"/>
        <v>14127</v>
      </c>
      <c r="K145" s="285">
        <f t="shared" si="53"/>
        <v>14803.099999999999</v>
      </c>
      <c r="L145" s="285">
        <f t="shared" si="53"/>
        <v>15014.2</v>
      </c>
      <c r="M145" s="285">
        <f t="shared" si="53"/>
        <v>15152.900000000001</v>
      </c>
      <c r="N145" s="285">
        <f t="shared" si="53"/>
        <v>15654.4</v>
      </c>
      <c r="O145" s="285">
        <f t="shared" si="53"/>
        <v>15799.3</v>
      </c>
      <c r="P145" s="285">
        <f t="shared" si="53"/>
        <v>15983.8</v>
      </c>
      <c r="Q145" s="285">
        <f>Q147+Q149</f>
        <v>16571.400000000001</v>
      </c>
      <c r="R145" s="285">
        <f t="shared" ref="R145:S145" si="54">R147+R149</f>
        <v>16848</v>
      </c>
      <c r="S145" s="285">
        <f t="shared" si="54"/>
        <v>17094.3</v>
      </c>
      <c r="T145" s="788">
        <f>S145*(1+T157)^(1/4)</f>
        <v>17463.472490140091</v>
      </c>
      <c r="U145" s="877">
        <f t="shared" ref="U145:AC145" si="55">T145*(1+U157)^(1/4)</f>
        <v>17681.570370477613</v>
      </c>
      <c r="V145" s="877">
        <f t="shared" si="55"/>
        <v>17915.310313953283</v>
      </c>
      <c r="W145" s="877">
        <f t="shared" si="55"/>
        <v>18134.299197887285</v>
      </c>
      <c r="X145" s="877">
        <f t="shared" si="55"/>
        <v>18366.85113656765</v>
      </c>
      <c r="Y145" s="877">
        <f t="shared" si="55"/>
        <v>18567.326945774861</v>
      </c>
      <c r="Z145" s="877">
        <f t="shared" si="55"/>
        <v>18756.714710225915</v>
      </c>
      <c r="AA145" s="877">
        <f t="shared" si="55"/>
        <v>18946.894477873844</v>
      </c>
      <c r="AB145" s="877">
        <f t="shared" si="55"/>
        <v>19139.846256710807</v>
      </c>
      <c r="AC145" s="730">
        <f t="shared" si="55"/>
        <v>19339.332061921934</v>
      </c>
    </row>
    <row r="146" spans="3:30" x14ac:dyDescent="0.3">
      <c r="D146" s="836"/>
      <c r="E146" s="570"/>
      <c r="F146" s="781"/>
      <c r="G146" s="702"/>
      <c r="H146" s="702"/>
      <c r="I146" s="702"/>
      <c r="J146" s="702"/>
      <c r="K146" s="702"/>
      <c r="L146" s="702"/>
      <c r="M146" s="702"/>
      <c r="N146" s="702"/>
      <c r="O146" s="702"/>
      <c r="P146" s="702"/>
      <c r="Q146" s="702"/>
      <c r="R146" s="702"/>
      <c r="S146" s="702"/>
      <c r="T146" s="789"/>
      <c r="U146" s="726"/>
      <c r="V146" s="726"/>
      <c r="W146" s="726"/>
      <c r="X146" s="726"/>
      <c r="Y146" s="726"/>
      <c r="Z146" s="726"/>
      <c r="AA146" s="726"/>
      <c r="AB146" s="726"/>
      <c r="AC146" s="780"/>
    </row>
    <row r="147" spans="3:30" x14ac:dyDescent="0.3">
      <c r="D147" s="253" t="s">
        <v>553</v>
      </c>
      <c r="E147" s="535"/>
      <c r="F147" s="781">
        <v>9274.9</v>
      </c>
      <c r="G147" s="702">
        <v>9311.2999999999993</v>
      </c>
      <c r="H147" s="702">
        <v>9422.5</v>
      </c>
      <c r="I147" s="702">
        <v>0</v>
      </c>
      <c r="J147" s="702">
        <v>8908.7999999999993</v>
      </c>
      <c r="K147" s="702">
        <v>9343.2999999999993</v>
      </c>
      <c r="L147" s="702">
        <v>9546</v>
      </c>
      <c r="M147" s="702">
        <v>9702.2000000000007</v>
      </c>
      <c r="N147" s="702">
        <v>9950.4</v>
      </c>
      <c r="O147" s="702">
        <v>10175.1</v>
      </c>
      <c r="P147" s="702">
        <v>10336.6</v>
      </c>
      <c r="Q147" s="702">
        <v>10995.9</v>
      </c>
      <c r="R147" s="702">
        <v>11172.6</v>
      </c>
      <c r="S147" s="702">
        <v>11320.4</v>
      </c>
      <c r="T147" s="789">
        <f>S147*(1+T159)^(1/4)</f>
        <v>11487.097039810064</v>
      </c>
      <c r="U147" s="726">
        <f t="shared" ref="U147:AC147" si="56">T147*(1+U159)^(1/4)</f>
        <v>11613.629756622413</v>
      </c>
      <c r="V147" s="726">
        <f t="shared" si="56"/>
        <v>11725.163766350403</v>
      </c>
      <c r="W147" s="726">
        <f t="shared" si="56"/>
        <v>11851.5958206991</v>
      </c>
      <c r="X147" s="726">
        <f t="shared" si="56"/>
        <v>11996.046456041759</v>
      </c>
      <c r="Y147" s="726">
        <f t="shared" si="56"/>
        <v>12140.094441529804</v>
      </c>
      <c r="Z147" s="726">
        <f t="shared" si="56"/>
        <v>12282.028515281125</v>
      </c>
      <c r="AA147" s="726">
        <f t="shared" si="56"/>
        <v>12426.982462942049</v>
      </c>
      <c r="AB147" s="726">
        <f t="shared" si="56"/>
        <v>12578.580133204099</v>
      </c>
      <c r="AC147" s="780">
        <f t="shared" si="56"/>
        <v>12737.224175921889</v>
      </c>
    </row>
    <row r="148" spans="3:30" x14ac:dyDescent="0.3">
      <c r="D148" s="253"/>
      <c r="E148" s="535"/>
      <c r="F148" s="781"/>
      <c r="G148" s="702"/>
      <c r="H148" s="702"/>
      <c r="I148" s="702"/>
      <c r="J148" s="702"/>
      <c r="K148" s="702"/>
      <c r="L148" s="702"/>
      <c r="M148" s="702"/>
      <c r="N148" s="702"/>
      <c r="O148" s="702"/>
      <c r="P148" s="702"/>
      <c r="Q148" s="702"/>
      <c r="R148" s="702"/>
      <c r="S148" s="702"/>
      <c r="T148" s="789"/>
      <c r="U148" s="726"/>
      <c r="V148" s="726"/>
      <c r="W148" s="726"/>
      <c r="X148" s="726"/>
      <c r="Y148" s="726"/>
      <c r="Z148" s="726"/>
      <c r="AA148" s="726"/>
      <c r="AB148" s="726"/>
      <c r="AC148" s="780"/>
    </row>
    <row r="149" spans="3:30" x14ac:dyDescent="0.3">
      <c r="D149" s="253" t="s">
        <v>956</v>
      </c>
      <c r="E149" s="535"/>
      <c r="F149" s="781">
        <v>5385.4</v>
      </c>
      <c r="G149" s="702">
        <v>5436.7</v>
      </c>
      <c r="H149" s="702">
        <v>5473.6</v>
      </c>
      <c r="I149" s="702">
        <v>5492.6</v>
      </c>
      <c r="J149" s="702">
        <v>5218.2</v>
      </c>
      <c r="K149" s="702">
        <v>5459.8</v>
      </c>
      <c r="L149" s="702">
        <v>5468.2</v>
      </c>
      <c r="M149" s="702">
        <v>5450.7</v>
      </c>
      <c r="N149" s="702">
        <v>5704</v>
      </c>
      <c r="O149" s="702">
        <v>5624.2</v>
      </c>
      <c r="P149" s="702">
        <v>5647.2</v>
      </c>
      <c r="Q149" s="702">
        <v>5575.5</v>
      </c>
      <c r="R149" s="702">
        <v>5675.4</v>
      </c>
      <c r="S149" s="702">
        <v>5773.9</v>
      </c>
      <c r="T149" s="789">
        <f t="shared" ref="T149:AC149" si="57">S149*(1+T161)^(1/4)</f>
        <v>5972.692471350274</v>
      </c>
      <c r="U149" s="726">
        <f t="shared" si="57"/>
        <v>6063.4101162597572</v>
      </c>
      <c r="V149" s="726">
        <f t="shared" si="57"/>
        <v>6183.5678425510705</v>
      </c>
      <c r="W149" s="726">
        <f t="shared" si="57"/>
        <v>6275.2444477661511</v>
      </c>
      <c r="X149" s="726">
        <f t="shared" si="57"/>
        <v>6362.8934196977234</v>
      </c>
      <c r="Y149" s="726">
        <f t="shared" si="57"/>
        <v>6419.8556618501898</v>
      </c>
      <c r="Z149" s="726">
        <f t="shared" si="57"/>
        <v>6468.0913652217214</v>
      </c>
      <c r="AA149" s="726">
        <f t="shared" si="57"/>
        <v>6514.2173559209414</v>
      </c>
      <c r="AB149" s="726">
        <f t="shared" si="57"/>
        <v>6556.699297458892</v>
      </c>
      <c r="AC149" s="780">
        <f t="shared" si="57"/>
        <v>6598.7976548746037</v>
      </c>
    </row>
    <row r="150" spans="3:30" x14ac:dyDescent="0.3">
      <c r="D150" s="253"/>
      <c r="E150" s="535"/>
      <c r="F150" s="781"/>
      <c r="G150" s="702"/>
      <c r="H150" s="702"/>
      <c r="I150" s="702"/>
      <c r="J150" s="702"/>
      <c r="K150" s="702"/>
      <c r="L150" s="702"/>
      <c r="M150" s="702"/>
      <c r="N150" s="702"/>
      <c r="O150" s="702"/>
      <c r="P150" s="702"/>
      <c r="Q150" s="702"/>
      <c r="R150" s="702"/>
      <c r="S150" s="702"/>
      <c r="T150" s="789"/>
      <c r="U150" s="726"/>
      <c r="V150" s="726"/>
      <c r="W150" s="726"/>
      <c r="X150" s="726"/>
      <c r="Y150" s="726"/>
      <c r="Z150" s="726"/>
      <c r="AA150" s="726"/>
      <c r="AB150" s="726"/>
      <c r="AC150" s="780"/>
    </row>
    <row r="151" spans="3:30" x14ac:dyDescent="0.3">
      <c r="D151" s="254" t="s">
        <v>554</v>
      </c>
      <c r="E151" s="535"/>
      <c r="F151" s="723"/>
      <c r="G151" s="535"/>
      <c r="H151" s="702"/>
      <c r="I151" s="702"/>
      <c r="J151" s="702"/>
      <c r="K151" s="702"/>
      <c r="L151" s="702"/>
      <c r="M151" s="702">
        <v>15041</v>
      </c>
      <c r="N151" s="702">
        <v>15551</v>
      </c>
      <c r="O151" s="702">
        <v>15824</v>
      </c>
      <c r="P151" s="702">
        <v>16056</v>
      </c>
      <c r="Q151" s="702">
        <v>16690.7</v>
      </c>
      <c r="R151" s="702">
        <v>16993</v>
      </c>
      <c r="S151" s="702">
        <v>17251.3</v>
      </c>
      <c r="T151" s="789">
        <f t="shared" ref="T151:AC151" si="58">S151*(1+T163)^(1/4)</f>
        <v>17580.231969332821</v>
      </c>
      <c r="U151" s="726">
        <f t="shared" si="58"/>
        <v>17789.802996500563</v>
      </c>
      <c r="V151" s="726">
        <f t="shared" si="58"/>
        <v>17975.344263034403</v>
      </c>
      <c r="W151" s="726">
        <f t="shared" si="58"/>
        <v>18172.801927259647</v>
      </c>
      <c r="X151" s="726">
        <f t="shared" si="58"/>
        <v>18366.41876908849</v>
      </c>
      <c r="Y151" s="726">
        <f t="shared" si="58"/>
        <v>18550.679761490199</v>
      </c>
      <c r="Z151" s="726">
        <f t="shared" si="58"/>
        <v>18730.804483618864</v>
      </c>
      <c r="AA151" s="726">
        <f t="shared" si="58"/>
        <v>18909.550448989845</v>
      </c>
      <c r="AB151" s="726">
        <f t="shared" si="58"/>
        <v>19097.652263787957</v>
      </c>
      <c r="AC151" s="780">
        <f t="shared" si="58"/>
        <v>19291.367588242345</v>
      </c>
    </row>
    <row r="152" spans="3:30" x14ac:dyDescent="0.3">
      <c r="D152" s="254"/>
      <c r="E152" s="535"/>
      <c r="F152" s="723"/>
      <c r="G152" s="535"/>
      <c r="H152" s="702"/>
      <c r="I152" s="702"/>
      <c r="J152" s="702"/>
      <c r="K152" s="702"/>
      <c r="L152" s="702"/>
      <c r="M152" s="702"/>
      <c r="N152" s="702"/>
      <c r="O152" s="702"/>
      <c r="P152" s="702"/>
      <c r="Q152" s="702"/>
      <c r="R152" s="702"/>
      <c r="S152" s="702"/>
      <c r="T152" s="789"/>
      <c r="U152" s="726"/>
      <c r="V152" s="726"/>
      <c r="W152" s="726"/>
      <c r="X152" s="726"/>
      <c r="Y152" s="726"/>
      <c r="Z152" s="726"/>
      <c r="AA152" s="726"/>
      <c r="AB152" s="726"/>
      <c r="AC152" s="780"/>
    </row>
    <row r="153" spans="3:30" x14ac:dyDescent="0.3">
      <c r="C153" s="35"/>
      <c r="D153" s="639" t="s">
        <v>560</v>
      </c>
      <c r="E153" s="565"/>
      <c r="F153" s="585"/>
      <c r="G153" s="565"/>
      <c r="H153" s="811"/>
      <c r="I153" s="811"/>
      <c r="J153" s="811"/>
      <c r="K153" s="811"/>
      <c r="L153" s="811"/>
      <c r="M153" s="811">
        <v>1874</v>
      </c>
      <c r="N153" s="811">
        <v>2307</v>
      </c>
      <c r="O153" s="811">
        <v>2443</v>
      </c>
      <c r="P153" s="811">
        <v>2460</v>
      </c>
      <c r="Q153" s="811">
        <v>2329.5</v>
      </c>
      <c r="R153" s="811">
        <v>2420.1999999999998</v>
      </c>
      <c r="S153" s="811">
        <v>2468.6999999999998</v>
      </c>
      <c r="T153" s="790">
        <f t="shared" ref="T153:AC153" si="59">S153*(1+T165)^(1/4)</f>
        <v>2337.8012141236418</v>
      </c>
      <c r="U153" s="813">
        <f t="shared" si="59"/>
        <v>2180.860252378488</v>
      </c>
      <c r="V153" s="813">
        <f t="shared" si="59"/>
        <v>2057.2336212730388</v>
      </c>
      <c r="W153" s="813">
        <f t="shared" si="59"/>
        <v>1987.5585167787908</v>
      </c>
      <c r="X153" s="813">
        <f t="shared" si="59"/>
        <v>1936.6534333824293</v>
      </c>
      <c r="Y153" s="813">
        <f t="shared" si="59"/>
        <v>1958.5681700569246</v>
      </c>
      <c r="Z153" s="813">
        <f t="shared" si="59"/>
        <v>1993.6514032084713</v>
      </c>
      <c r="AA153" s="813">
        <f t="shared" si="59"/>
        <v>2043.2789459018352</v>
      </c>
      <c r="AB153" s="813">
        <f t="shared" si="59"/>
        <v>2113.9367740137736</v>
      </c>
      <c r="AC153" s="814">
        <f t="shared" si="59"/>
        <v>2182.1377930814861</v>
      </c>
      <c r="AD153" s="35"/>
    </row>
    <row r="154" spans="3:30" ht="14.85" customHeight="1" x14ac:dyDescent="0.3">
      <c r="C154" s="35"/>
      <c r="D154" s="209"/>
      <c r="E154" s="535"/>
      <c r="F154" s="535"/>
      <c r="G154" s="535"/>
      <c r="H154" s="702"/>
      <c r="I154" s="702"/>
      <c r="J154" s="702"/>
      <c r="K154" s="702"/>
      <c r="L154" s="702"/>
      <c r="M154" s="702"/>
      <c r="N154" s="702"/>
      <c r="O154" s="702"/>
      <c r="P154" s="702"/>
      <c r="Q154" s="702"/>
      <c r="R154" s="702"/>
      <c r="S154" s="702"/>
      <c r="T154" s="702"/>
      <c r="U154" s="726"/>
      <c r="V154" s="726"/>
      <c r="W154" s="726"/>
      <c r="X154" s="726"/>
      <c r="Y154" s="726"/>
      <c r="Z154" s="726"/>
      <c r="AA154" s="726"/>
      <c r="AB154" s="726"/>
      <c r="AC154" s="726"/>
      <c r="AD154" s="35"/>
    </row>
    <row r="155" spans="3:30" x14ac:dyDescent="0.3">
      <c r="C155" s="35"/>
      <c r="D155" s="1369" t="s">
        <v>957</v>
      </c>
      <c r="E155" s="1376"/>
      <c r="F155" s="1273">
        <v>2019</v>
      </c>
      <c r="G155" s="1278"/>
      <c r="H155" s="1279"/>
      <c r="I155" s="1273">
        <v>2020</v>
      </c>
      <c r="J155" s="1278"/>
      <c r="K155" s="1278"/>
      <c r="L155" s="1279"/>
      <c r="M155" s="1273">
        <v>2021</v>
      </c>
      <c r="N155" s="1278"/>
      <c r="O155" s="1278"/>
      <c r="P155" s="1274"/>
      <c r="Q155" s="1273">
        <v>2022</v>
      </c>
      <c r="R155" s="1274"/>
      <c r="S155" s="1274"/>
      <c r="T155" s="1279"/>
      <c r="U155" s="1284">
        <v>2023</v>
      </c>
      <c r="V155" s="1285"/>
      <c r="W155" s="1285"/>
      <c r="X155" s="1286"/>
      <c r="Y155" s="1287">
        <v>2024</v>
      </c>
      <c r="Z155" s="1285"/>
      <c r="AA155" s="1285"/>
      <c r="AB155" s="1286"/>
      <c r="AC155" s="233">
        <v>2025</v>
      </c>
      <c r="AD155" s="35"/>
    </row>
    <row r="156" spans="3:30" x14ac:dyDescent="0.3">
      <c r="C156" s="35"/>
      <c r="D156" s="1377"/>
      <c r="E156" s="1378"/>
      <c r="F156" s="163" t="s">
        <v>329</v>
      </c>
      <c r="G156" s="176" t="s">
        <v>238</v>
      </c>
      <c r="H156" s="159" t="s">
        <v>327</v>
      </c>
      <c r="I156" s="163" t="s">
        <v>328</v>
      </c>
      <c r="J156" s="176" t="s">
        <v>329</v>
      </c>
      <c r="K156" s="176" t="s">
        <v>238</v>
      </c>
      <c r="L156" s="159" t="s">
        <v>327</v>
      </c>
      <c r="M156" s="163" t="s">
        <v>328</v>
      </c>
      <c r="N156" s="176" t="s">
        <v>329</v>
      </c>
      <c r="O156" s="176" t="s">
        <v>238</v>
      </c>
      <c r="P156" s="176" t="s">
        <v>327</v>
      </c>
      <c r="Q156" s="163" t="s">
        <v>328</v>
      </c>
      <c r="R156" s="176" t="s">
        <v>329</v>
      </c>
      <c r="S156" s="176" t="s">
        <v>238</v>
      </c>
      <c r="T156" s="159" t="s">
        <v>327</v>
      </c>
      <c r="U156" s="280" t="s">
        <v>328</v>
      </c>
      <c r="V156" s="280" t="s">
        <v>329</v>
      </c>
      <c r="W156" s="280" t="s">
        <v>238</v>
      </c>
      <c r="X156" s="278" t="s">
        <v>327</v>
      </c>
      <c r="Y156" s="348" t="s">
        <v>328</v>
      </c>
      <c r="Z156" s="228" t="s">
        <v>329</v>
      </c>
      <c r="AA156" s="280" t="s">
        <v>238</v>
      </c>
      <c r="AB156" s="280" t="s">
        <v>327</v>
      </c>
      <c r="AC156" s="373" t="s">
        <v>328</v>
      </c>
      <c r="AD156" s="35"/>
    </row>
    <row r="157" spans="3:30" ht="27.6" customHeight="1" x14ac:dyDescent="0.3">
      <c r="C157" s="35"/>
      <c r="D157" s="884" t="s">
        <v>552</v>
      </c>
      <c r="E157" s="859"/>
      <c r="F157" s="782"/>
      <c r="G157" s="792" t="e">
        <f t="shared" ref="G157:AC157" si="60">(G96/F96)^4-1</f>
        <v>#DIV/0!</v>
      </c>
      <c r="H157" s="792" t="e">
        <f t="shared" si="60"/>
        <v>#DIV/0!</v>
      </c>
      <c r="I157" s="792" t="e">
        <f t="shared" si="60"/>
        <v>#DIV/0!</v>
      </c>
      <c r="J157" s="792">
        <f t="shared" si="60"/>
        <v>-0.21070155504838917</v>
      </c>
      <c r="K157" s="792">
        <f t="shared" si="60"/>
        <v>0.20409656990320446</v>
      </c>
      <c r="L157" s="792">
        <f t="shared" si="60"/>
        <v>0.10445079655049061</v>
      </c>
      <c r="M157" s="792">
        <f t="shared" si="60"/>
        <v>1.0038022914703681E-2</v>
      </c>
      <c r="N157" s="792">
        <f t="shared" si="60"/>
        <v>0.12746591651095995</v>
      </c>
      <c r="O157" s="792">
        <f t="shared" si="60"/>
        <v>8.7536504987418162E-2</v>
      </c>
      <c r="P157" s="792">
        <f t="shared" si="60"/>
        <v>9.6257802203331799E-2</v>
      </c>
      <c r="Q157" s="792">
        <f t="shared" si="60"/>
        <v>5.3130466022335732E-2</v>
      </c>
      <c r="R157" s="792">
        <f t="shared" si="60"/>
        <v>5.8700506146537323E-2</v>
      </c>
      <c r="S157" s="792">
        <f t="shared" si="60"/>
        <v>6.6224916945864853E-2</v>
      </c>
      <c r="T157" s="794">
        <f t="shared" si="60"/>
        <v>8.9223823992267803E-2</v>
      </c>
      <c r="U157" s="799">
        <f t="shared" si="60"/>
        <v>5.0898852075559109E-2</v>
      </c>
      <c r="V157" s="799">
        <f t="shared" si="60"/>
        <v>5.39354314600895E-2</v>
      </c>
      <c r="W157" s="799">
        <f t="shared" si="60"/>
        <v>4.9798063494010059E-2</v>
      </c>
      <c r="X157" s="799">
        <f t="shared" si="60"/>
        <v>5.229066242697944E-2</v>
      </c>
      <c r="Y157" s="799">
        <f t="shared" si="60"/>
        <v>4.4380405600340955E-2</v>
      </c>
      <c r="Z157" s="799">
        <f t="shared" si="60"/>
        <v>4.1428724323071764E-2</v>
      </c>
      <c r="AA157" s="799">
        <f t="shared" si="60"/>
        <v>4.1178170772385725E-2</v>
      </c>
      <c r="AB157" s="799">
        <f t="shared" si="60"/>
        <v>4.1361780021860417E-2</v>
      </c>
      <c r="AC157" s="800">
        <f t="shared" si="60"/>
        <v>4.2346474891928665E-2</v>
      </c>
      <c r="AD157" s="35"/>
    </row>
    <row r="158" spans="3:30" ht="27.6" customHeight="1" x14ac:dyDescent="0.3">
      <c r="C158" s="35"/>
      <c r="D158" s="836"/>
      <c r="E158" s="570"/>
      <c r="F158" s="47"/>
      <c r="G158" s="727"/>
      <c r="H158" s="727"/>
      <c r="I158" s="727"/>
      <c r="J158" s="727"/>
      <c r="K158" s="727"/>
      <c r="L158" s="727"/>
      <c r="M158" s="727"/>
      <c r="N158" s="727"/>
      <c r="O158" s="727"/>
      <c r="P158" s="727"/>
      <c r="Q158" s="727"/>
      <c r="R158" s="727"/>
      <c r="S158" s="727"/>
      <c r="T158" s="795"/>
      <c r="U158" s="728"/>
      <c r="V158" s="728"/>
      <c r="W158" s="728"/>
      <c r="X158" s="728"/>
      <c r="Y158" s="728"/>
      <c r="Z158" s="728"/>
      <c r="AA158" s="728"/>
      <c r="AB158" s="728"/>
      <c r="AC158" s="801"/>
      <c r="AD158" s="35"/>
    </row>
    <row r="159" spans="3:30" ht="27.6" customHeight="1" x14ac:dyDescent="0.3">
      <c r="C159" s="35"/>
      <c r="D159" s="253" t="s">
        <v>553</v>
      </c>
      <c r="E159" s="535"/>
      <c r="F159" s="47"/>
      <c r="G159" s="727" t="e">
        <f t="shared" ref="G159:AC159" si="61">(G97/F97)^4-1</f>
        <v>#DIV/0!</v>
      </c>
      <c r="H159" s="727" t="e">
        <f t="shared" si="61"/>
        <v>#DIV/0!</v>
      </c>
      <c r="I159" s="727" t="e">
        <f t="shared" si="61"/>
        <v>#DIV/0!</v>
      </c>
      <c r="J159" s="727">
        <f t="shared" si="61"/>
        <v>-0.23688314079507089</v>
      </c>
      <c r="K159" s="727">
        <f t="shared" si="61"/>
        <v>0.20520050761606656</v>
      </c>
      <c r="L159" s="727">
        <f t="shared" si="61"/>
        <v>0.16094955415161705</v>
      </c>
      <c r="M159" s="727">
        <f t="shared" si="61"/>
        <v>2.7883833548878467E-2</v>
      </c>
      <c r="N159" s="727">
        <f t="shared" si="61"/>
        <v>0.12185900162885499</v>
      </c>
      <c r="O159" s="727">
        <f t="shared" si="61"/>
        <v>0.11675899119493027</v>
      </c>
      <c r="P159" s="727">
        <f t="shared" si="61"/>
        <v>0.13115208751063179</v>
      </c>
      <c r="Q159" s="727">
        <f t="shared" si="61"/>
        <v>6.7554374316260324E-2</v>
      </c>
      <c r="R159" s="727">
        <f t="shared" si="61"/>
        <v>4.9399992962044781E-2</v>
      </c>
      <c r="S159" s="727">
        <f t="shared" si="61"/>
        <v>6.9721013529006282E-2</v>
      </c>
      <c r="T159" s="795">
        <f t="shared" si="61"/>
        <v>6.0215303838485168E-2</v>
      </c>
      <c r="U159" s="728">
        <f t="shared" si="61"/>
        <v>4.4794184982262397E-2</v>
      </c>
      <c r="V159" s="728">
        <f t="shared" si="61"/>
        <v>3.8971806498267147E-2</v>
      </c>
      <c r="W159" s="728">
        <f t="shared" si="61"/>
        <v>4.3834530964215634E-2</v>
      </c>
      <c r="X159" s="728">
        <f t="shared" si="61"/>
        <v>4.9651733025286138E-2</v>
      </c>
      <c r="Y159" s="728">
        <f t="shared" si="61"/>
        <v>4.8903912261530902E-2</v>
      </c>
      <c r="Z159" s="728">
        <f t="shared" si="61"/>
        <v>4.7591930307703478E-2</v>
      </c>
      <c r="AA159" s="728">
        <f t="shared" si="61"/>
        <v>4.8050806277727842E-2</v>
      </c>
      <c r="AB159" s="728">
        <f t="shared" si="61"/>
        <v>4.9696481519596158E-2</v>
      </c>
      <c r="AC159" s="801">
        <f t="shared" si="61"/>
        <v>5.1411412231850306E-2</v>
      </c>
      <c r="AD159" s="35"/>
    </row>
    <row r="160" spans="3:30" ht="27.6" customHeight="1" x14ac:dyDescent="0.3">
      <c r="C160" s="35"/>
      <c r="D160" s="253"/>
      <c r="E160" s="535"/>
      <c r="F160" s="47"/>
      <c r="G160" s="727"/>
      <c r="H160" s="727"/>
      <c r="I160" s="727"/>
      <c r="J160" s="727"/>
      <c r="K160" s="727"/>
      <c r="L160" s="727"/>
      <c r="M160" s="727"/>
      <c r="N160" s="727"/>
      <c r="O160" s="727"/>
      <c r="P160" s="727"/>
      <c r="Q160" s="727"/>
      <c r="R160" s="727"/>
      <c r="S160" s="727"/>
      <c r="T160" s="795"/>
      <c r="U160" s="728"/>
      <c r="V160" s="728"/>
      <c r="W160" s="728"/>
      <c r="X160" s="728"/>
      <c r="Y160" s="728"/>
      <c r="Z160" s="728"/>
      <c r="AA160" s="728"/>
      <c r="AB160" s="728"/>
      <c r="AC160" s="801"/>
      <c r="AD160" s="35"/>
    </row>
    <row r="161" spans="3:30" x14ac:dyDescent="0.3">
      <c r="C161" s="35"/>
      <c r="D161" s="253" t="s">
        <v>956</v>
      </c>
      <c r="E161" s="535"/>
      <c r="F161" s="47"/>
      <c r="G161" s="727" t="e">
        <f t="shared" ref="G161:AC161" si="62">(G98/F98)^4-1</f>
        <v>#DIV/0!</v>
      </c>
      <c r="H161" s="727" t="e">
        <f t="shared" si="62"/>
        <v>#DIV/0!</v>
      </c>
      <c r="I161" s="727" t="e">
        <f t="shared" si="62"/>
        <v>#DIV/0!</v>
      </c>
      <c r="J161" s="727">
        <f t="shared" si="62"/>
        <v>-0.16336002849894693</v>
      </c>
      <c r="K161" s="727">
        <f t="shared" si="62"/>
        <v>0.20221386896849047</v>
      </c>
      <c r="L161" s="727">
        <f t="shared" si="62"/>
        <v>1.2745999464862878E-2</v>
      </c>
      <c r="M161" s="727">
        <f t="shared" si="62"/>
        <v>-2.0933426342402583E-2</v>
      </c>
      <c r="N161" s="727">
        <f t="shared" si="62"/>
        <v>0.13754934573019617</v>
      </c>
      <c r="O161" s="727">
        <f t="shared" si="62"/>
        <v>3.6864487370476651E-2</v>
      </c>
      <c r="P161" s="727">
        <f t="shared" si="62"/>
        <v>3.4953421847994104E-2</v>
      </c>
      <c r="Q161" s="727">
        <f t="shared" si="62"/>
        <v>2.6732902126662683E-2</v>
      </c>
      <c r="R161" s="727">
        <f t="shared" si="62"/>
        <v>7.630767003118466E-2</v>
      </c>
      <c r="S161" s="727">
        <f t="shared" si="62"/>
        <v>5.9733145707485225E-2</v>
      </c>
      <c r="T161" s="795">
        <f t="shared" si="62"/>
        <v>0.14499498323752569</v>
      </c>
      <c r="U161" s="728">
        <f t="shared" si="62"/>
        <v>6.2153196479126871E-2</v>
      </c>
      <c r="V161" s="728">
        <f t="shared" si="62"/>
        <v>8.1654954647559119E-2</v>
      </c>
      <c r="W161" s="728">
        <f t="shared" si="62"/>
        <v>6.0635288713164925E-2</v>
      </c>
      <c r="X161" s="728">
        <f t="shared" si="62"/>
        <v>5.7051148629246429E-2</v>
      </c>
      <c r="Y161" s="728">
        <f t="shared" si="62"/>
        <v>3.6292752006835016E-2</v>
      </c>
      <c r="Z161" s="728">
        <f t="shared" si="62"/>
        <v>3.0394491009306357E-2</v>
      </c>
      <c r="AA161" s="728">
        <f t="shared" si="62"/>
        <v>2.8831843214639719E-2</v>
      </c>
      <c r="AB161" s="728">
        <f t="shared" si="62"/>
        <v>2.634196107872655E-2</v>
      </c>
      <c r="AC161" s="801">
        <f t="shared" si="62"/>
        <v>2.5931062463653953E-2</v>
      </c>
      <c r="AD161" s="35"/>
    </row>
    <row r="162" spans="3:30" x14ac:dyDescent="0.3">
      <c r="C162" s="35"/>
      <c r="D162" s="253"/>
      <c r="E162" s="535"/>
      <c r="F162" s="47"/>
      <c r="G162" s="727"/>
      <c r="H162" s="727"/>
      <c r="I162" s="727"/>
      <c r="J162" s="727"/>
      <c r="K162" s="727"/>
      <c r="L162" s="727"/>
      <c r="M162" s="727"/>
      <c r="N162" s="727"/>
      <c r="O162" s="727"/>
      <c r="P162" s="727"/>
      <c r="Q162" s="727"/>
      <c r="R162" s="727"/>
      <c r="S162" s="727"/>
      <c r="T162" s="795"/>
      <c r="U162" s="728"/>
      <c r="V162" s="728"/>
      <c r="W162" s="728"/>
      <c r="X162" s="728"/>
      <c r="Y162" s="728"/>
      <c r="Z162" s="728"/>
      <c r="AA162" s="728"/>
      <c r="AB162" s="728"/>
      <c r="AC162" s="801"/>
      <c r="AD162" s="35"/>
    </row>
    <row r="163" spans="3:30" x14ac:dyDescent="0.3">
      <c r="C163" s="35"/>
      <c r="D163" s="254" t="s">
        <v>554</v>
      </c>
      <c r="E163" s="535"/>
      <c r="F163" s="47"/>
      <c r="G163" s="727"/>
      <c r="H163" s="727"/>
      <c r="I163" s="727"/>
      <c r="J163" s="727"/>
      <c r="K163" s="727"/>
      <c r="L163" s="727"/>
      <c r="M163" s="727"/>
      <c r="N163" s="727">
        <f t="shared" ref="N163:AC163" si="63">(N99/M99)^4-1</f>
        <v>0.1928451879925992</v>
      </c>
      <c r="O163" s="727">
        <f t="shared" si="63"/>
        <v>8.7145430326741824E-2</v>
      </c>
      <c r="P163" s="727">
        <f t="shared" si="63"/>
        <v>9.5040522503139657E-2</v>
      </c>
      <c r="Q163" s="727">
        <f t="shared" si="63"/>
        <v>8.9242780231497676E-2</v>
      </c>
      <c r="R163" s="727">
        <f t="shared" si="63"/>
        <v>9.481178927373124E-2</v>
      </c>
      <c r="S163" s="727">
        <f t="shared" si="63"/>
        <v>6.0607843328261746E-2</v>
      </c>
      <c r="T163" s="795">
        <f t="shared" si="63"/>
        <v>7.8477513818825395E-2</v>
      </c>
      <c r="U163" s="728">
        <f t="shared" si="63"/>
        <v>4.8542770037778959E-2</v>
      </c>
      <c r="V163" s="728">
        <f t="shared" si="63"/>
        <v>4.2375780152070552E-2</v>
      </c>
      <c r="W163" s="728">
        <f t="shared" si="63"/>
        <v>4.4668994972735243E-2</v>
      </c>
      <c r="X163" s="728">
        <f t="shared" si="63"/>
        <v>4.3302762153154983E-2</v>
      </c>
      <c r="Y163" s="728">
        <f t="shared" si="63"/>
        <v>4.0737932279044653E-2</v>
      </c>
      <c r="Z163" s="728">
        <f t="shared" si="63"/>
        <v>3.9408847565527205E-2</v>
      </c>
      <c r="AA163" s="728">
        <f t="shared" si="63"/>
        <v>3.8721435847691943E-2</v>
      </c>
      <c r="AB163" s="728">
        <f t="shared" si="63"/>
        <v>4.0387459196791431E-2</v>
      </c>
      <c r="AC163" s="801">
        <f t="shared" si="63"/>
        <v>4.1195159376754775E-2</v>
      </c>
      <c r="AD163" s="35"/>
    </row>
    <row r="164" spans="3:30" x14ac:dyDescent="0.3">
      <c r="C164" s="35"/>
      <c r="D164" s="254"/>
      <c r="E164" s="535"/>
      <c r="F164" s="47"/>
      <c r="G164" s="727"/>
      <c r="H164" s="727"/>
      <c r="I164" s="727"/>
      <c r="J164" s="727"/>
      <c r="K164" s="727"/>
      <c r="L164" s="727"/>
      <c r="M164" s="727"/>
      <c r="N164" s="727"/>
      <c r="O164" s="727"/>
      <c r="P164" s="727"/>
      <c r="Q164" s="727"/>
      <c r="R164" s="727"/>
      <c r="S164" s="727"/>
      <c r="T164" s="795"/>
      <c r="U164" s="728"/>
      <c r="V164" s="728"/>
      <c r="W164" s="728"/>
      <c r="X164" s="728"/>
      <c r="Y164" s="728"/>
      <c r="Z164" s="728"/>
      <c r="AA164" s="728"/>
      <c r="AB164" s="728"/>
      <c r="AC164" s="801"/>
      <c r="AD164" s="35"/>
    </row>
    <row r="165" spans="3:30" x14ac:dyDescent="0.3">
      <c r="D165" s="639" t="s">
        <v>560</v>
      </c>
      <c r="E165" s="565"/>
      <c r="F165" s="169"/>
      <c r="G165" s="778"/>
      <c r="H165" s="778"/>
      <c r="I165" s="778"/>
      <c r="J165" s="778"/>
      <c r="K165" s="778"/>
      <c r="L165" s="778"/>
      <c r="M165" s="778"/>
      <c r="N165" s="778">
        <f t="shared" ref="N165:AC165" si="64">(N100/M100)^4-1</f>
        <v>0.56301012914725668</v>
      </c>
      <c r="O165" s="778">
        <f t="shared" si="64"/>
        <v>4.1681341019436546E-2</v>
      </c>
      <c r="P165" s="778">
        <f t="shared" si="64"/>
        <v>1.8883812263239985E-2</v>
      </c>
      <c r="Q165" s="778">
        <f t="shared" si="64"/>
        <v>-1.7080068525602621E-2</v>
      </c>
      <c r="R165" s="778">
        <f t="shared" si="64"/>
        <v>0.18639186970056576</v>
      </c>
      <c r="S165" s="778">
        <f t="shared" si="64"/>
        <v>-4.155915873861038E-2</v>
      </c>
      <c r="T165" s="779">
        <f t="shared" si="64"/>
        <v>-0.19581299458313783</v>
      </c>
      <c r="U165" s="802">
        <f t="shared" si="64"/>
        <v>-0.24267720394260905</v>
      </c>
      <c r="V165" s="802">
        <f t="shared" si="64"/>
        <v>-0.20818613090691662</v>
      </c>
      <c r="W165" s="802">
        <f t="shared" si="64"/>
        <v>-0.12874508356170977</v>
      </c>
      <c r="X165" s="802">
        <f t="shared" si="64"/>
        <v>-9.8578431708765346E-2</v>
      </c>
      <c r="Y165" s="802">
        <f t="shared" si="64"/>
        <v>4.6037197407029051E-2</v>
      </c>
      <c r="Z165" s="802">
        <f t="shared" si="64"/>
        <v>7.3599058606389711E-2</v>
      </c>
      <c r="AA165" s="802">
        <f t="shared" si="64"/>
        <v>0.10335114277663515</v>
      </c>
      <c r="AB165" s="802">
        <f t="shared" si="64"/>
        <v>0.14566418086862276</v>
      </c>
      <c r="AC165" s="803">
        <f t="shared" si="64"/>
        <v>0.13543089965831157</v>
      </c>
    </row>
    <row r="166" spans="3:30" x14ac:dyDescent="0.3">
      <c r="D166" s="209"/>
      <c r="E166" s="535"/>
      <c r="G166" s="535"/>
      <c r="H166" s="702"/>
      <c r="I166" s="702"/>
      <c r="J166" s="702"/>
      <c r="K166" s="702"/>
      <c r="L166" s="702"/>
      <c r="M166" s="702"/>
      <c r="N166" s="702"/>
      <c r="O166" s="702"/>
      <c r="P166" s="702"/>
      <c r="Q166" s="702"/>
      <c r="R166" s="702"/>
      <c r="S166" s="702"/>
      <c r="T166" s="702"/>
      <c r="U166" s="702"/>
      <c r="V166" s="702"/>
      <c r="W166" s="702"/>
      <c r="X166" s="702"/>
      <c r="Y166" s="702"/>
      <c r="Z166" s="702"/>
      <c r="AA166" s="702"/>
      <c r="AB166" s="702"/>
      <c r="AC166" s="702"/>
    </row>
    <row r="167" spans="3:30" ht="14.85" customHeight="1" x14ac:dyDescent="0.3"/>
    <row r="168" spans="3:30" ht="14.85" customHeight="1" x14ac:dyDescent="0.3"/>
    <row r="169" spans="3:30" ht="14.85" customHeight="1" x14ac:dyDescent="0.3"/>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5:X155"/>
    <mergeCell ref="I143:L143"/>
    <mergeCell ref="M143:P143"/>
    <mergeCell ref="Q143:T143"/>
    <mergeCell ref="Q155:T15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G1:AC73"/>
  <sheetViews>
    <sheetView topLeftCell="G1" zoomScale="61" zoomScaleNormal="143" workbookViewId="0">
      <selection activeCell="X38" sqref="X38"/>
    </sheetView>
  </sheetViews>
  <sheetFormatPr defaultColWidth="10.7773437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276" t="s">
        <v>363</v>
      </c>
      <c r="I1" s="1276"/>
      <c r="J1" s="1276"/>
      <c r="K1" s="1276"/>
      <c r="L1" s="1276"/>
      <c r="M1" s="1276"/>
      <c r="N1" s="1276"/>
      <c r="O1" s="1276"/>
      <c r="P1" s="1276"/>
      <c r="Q1" s="1276"/>
      <c r="R1" s="1276"/>
      <c r="S1" s="1276"/>
    </row>
    <row r="2" spans="8:22" x14ac:dyDescent="0.3">
      <c r="H2" s="1314" t="s">
        <v>364</v>
      </c>
      <c r="I2" s="1314"/>
      <c r="J2" s="1314"/>
      <c r="K2" s="1314"/>
      <c r="L2" s="1314"/>
      <c r="M2" s="1314"/>
      <c r="N2" s="1314"/>
      <c r="O2" s="1314"/>
      <c r="P2" s="1314"/>
      <c r="Q2" s="1314"/>
      <c r="R2" s="1314"/>
      <c r="S2" s="1314"/>
    </row>
    <row r="3" spans="8:22" x14ac:dyDescent="0.3">
      <c r="H3" s="1314"/>
      <c r="I3" s="1314"/>
      <c r="J3" s="1314"/>
      <c r="K3" s="1314"/>
      <c r="L3" s="1314"/>
      <c r="M3" s="1314"/>
      <c r="N3" s="1314"/>
      <c r="O3" s="1314"/>
      <c r="P3" s="1314"/>
      <c r="Q3" s="1314"/>
      <c r="R3" s="1314"/>
      <c r="S3" s="1314"/>
    </row>
    <row r="4" spans="8:22" x14ac:dyDescent="0.3">
      <c r="H4" s="1314"/>
      <c r="I4" s="1314"/>
      <c r="J4" s="1314"/>
      <c r="K4" s="1314"/>
      <c r="L4" s="1314"/>
      <c r="M4" s="1314"/>
      <c r="N4" s="1314"/>
      <c r="O4" s="1314"/>
      <c r="P4" s="1314"/>
      <c r="Q4" s="1314"/>
      <c r="R4" s="1314"/>
      <c r="S4" s="1314"/>
    </row>
    <row r="5" spans="8:22" ht="54.75" customHeight="1" x14ac:dyDescent="0.3">
      <c r="H5" s="1314"/>
      <c r="I5" s="1314"/>
      <c r="J5" s="1314"/>
      <c r="K5" s="1314"/>
      <c r="L5" s="1314"/>
      <c r="M5" s="1314"/>
      <c r="N5" s="1314"/>
      <c r="O5" s="1314"/>
      <c r="P5" s="1314"/>
      <c r="Q5" s="1314"/>
      <c r="R5" s="1314"/>
      <c r="S5" s="1314"/>
    </row>
    <row r="6" spans="8:22" x14ac:dyDescent="0.3">
      <c r="H6" s="420"/>
      <c r="I6" s="420"/>
      <c r="J6" s="420"/>
      <c r="K6" s="420"/>
      <c r="L6" s="420"/>
      <c r="M6" s="420"/>
      <c r="N6" s="420"/>
      <c r="O6" s="420"/>
      <c r="P6" s="420"/>
      <c r="Q6" s="420"/>
      <c r="R6" s="420"/>
      <c r="S6" s="420"/>
    </row>
    <row r="7" spans="8:22" x14ac:dyDescent="0.3">
      <c r="H7" s="895" t="s">
        <v>365</v>
      </c>
    </row>
    <row r="8" spans="8:22" ht="16.350000000000001" customHeight="1" x14ac:dyDescent="0.3"/>
    <row r="9" spans="8:22" ht="15.75" customHeight="1" x14ac:dyDescent="0.3">
      <c r="L9" s="1273">
        <v>2020</v>
      </c>
      <c r="M9" s="1278"/>
      <c r="N9" s="1278"/>
      <c r="O9" s="905">
        <v>2021</v>
      </c>
      <c r="P9" s="905"/>
      <c r="Q9" s="905"/>
      <c r="R9" s="904"/>
    </row>
    <row r="10" spans="8:22" ht="41.85" customHeight="1" x14ac:dyDescent="0.3">
      <c r="H10" s="908" t="s">
        <v>366</v>
      </c>
      <c r="I10" s="908" t="s">
        <v>367</v>
      </c>
      <c r="J10" s="909" t="s">
        <v>368</v>
      </c>
      <c r="K10" s="212"/>
      <c r="L10" s="902" t="s">
        <v>329</v>
      </c>
      <c r="M10" s="903" t="s">
        <v>238</v>
      </c>
      <c r="N10" s="903" t="s">
        <v>327</v>
      </c>
      <c r="O10" s="903" t="s">
        <v>328</v>
      </c>
      <c r="P10" s="903" t="s">
        <v>329</v>
      </c>
      <c r="Q10" s="903" t="s">
        <v>238</v>
      </c>
      <c r="R10" s="906" t="s">
        <v>327</v>
      </c>
      <c r="S10" s="420" t="s">
        <v>369</v>
      </c>
      <c r="T10" s="212"/>
      <c r="U10" s="212"/>
      <c r="V10" s="212"/>
    </row>
    <row r="11" spans="8:22" x14ac:dyDescent="0.3">
      <c r="H11" s="910">
        <v>43934</v>
      </c>
      <c r="I11" s="209">
        <v>248</v>
      </c>
      <c r="J11" s="542">
        <f>I11</f>
        <v>248</v>
      </c>
      <c r="K11" s="209"/>
      <c r="L11" s="774">
        <f>S11/26*J11</f>
        <v>95.384615384615387</v>
      </c>
      <c r="M11" s="417">
        <f>13/26*J11</f>
        <v>124</v>
      </c>
      <c r="N11" s="417">
        <f>J11-SUM(L11:M11)</f>
        <v>28.615384615384613</v>
      </c>
      <c r="O11" s="417"/>
      <c r="P11" s="417"/>
      <c r="Q11" s="417"/>
      <c r="R11" s="900"/>
      <c r="S11" s="209">
        <v>10</v>
      </c>
      <c r="T11" s="209"/>
      <c r="U11" s="897"/>
      <c r="V11" s="209"/>
    </row>
    <row r="12" spans="8:22" x14ac:dyDescent="0.3">
      <c r="H12" s="898">
        <v>43937</v>
      </c>
      <c r="I12" s="209">
        <v>342</v>
      </c>
      <c r="J12" s="542">
        <f>I12-I11</f>
        <v>94</v>
      </c>
      <c r="K12" s="209"/>
      <c r="L12" s="774">
        <f t="shared" ref="L12:L20" si="0">S12/26*J12</f>
        <v>36.153846153846153</v>
      </c>
      <c r="M12" s="417">
        <f t="shared" ref="M12:M20" si="1">13/26*J12</f>
        <v>47</v>
      </c>
      <c r="N12" s="417">
        <f t="shared" ref="N12:N21" si="2">J12-SUM(L12:M12)</f>
        <v>10.84615384615384</v>
      </c>
      <c r="O12" s="417"/>
      <c r="P12" s="417"/>
      <c r="Q12" s="417"/>
      <c r="R12" s="900"/>
      <c r="S12" s="209">
        <v>10</v>
      </c>
      <c r="T12" s="209"/>
      <c r="U12" s="209"/>
      <c r="V12" s="209"/>
    </row>
    <row r="13" spans="8:22" x14ac:dyDescent="0.3">
      <c r="H13" s="898">
        <v>43952</v>
      </c>
      <c r="I13" s="209">
        <v>518</v>
      </c>
      <c r="J13" s="542">
        <f>I13-I12</f>
        <v>176</v>
      </c>
      <c r="K13" s="209"/>
      <c r="L13" s="774">
        <f t="shared" si="0"/>
        <v>54.15384615384616</v>
      </c>
      <c r="M13" s="417">
        <f t="shared" si="1"/>
        <v>88</v>
      </c>
      <c r="N13" s="417">
        <f t="shared" si="2"/>
        <v>33.84615384615384</v>
      </c>
      <c r="O13" s="417"/>
      <c r="P13" s="417"/>
      <c r="Q13" s="417"/>
      <c r="R13" s="900"/>
      <c r="S13" s="209">
        <v>8</v>
      </c>
      <c r="T13" s="209"/>
      <c r="U13" s="209"/>
      <c r="V13" s="209"/>
    </row>
    <row r="14" spans="8:22" x14ac:dyDescent="0.3">
      <c r="H14" s="898">
        <v>43959</v>
      </c>
      <c r="I14" s="209">
        <v>531</v>
      </c>
      <c r="J14" s="542">
        <f t="shared" ref="J14:J45" si="3">I14-I13</f>
        <v>13</v>
      </c>
      <c r="K14" s="209"/>
      <c r="L14" s="774">
        <f t="shared" si="0"/>
        <v>3.5</v>
      </c>
      <c r="M14" s="417">
        <f t="shared" si="1"/>
        <v>6.5</v>
      </c>
      <c r="N14" s="417">
        <f t="shared" si="2"/>
        <v>3</v>
      </c>
      <c r="O14" s="417"/>
      <c r="P14" s="417"/>
      <c r="Q14" s="417"/>
      <c r="R14" s="900"/>
      <c r="S14" s="209">
        <f t="shared" ref="S14:S20" si="4">S13-1</f>
        <v>7</v>
      </c>
      <c r="T14" s="209"/>
      <c r="U14" s="209"/>
      <c r="V14" s="209"/>
    </row>
    <row r="15" spans="8:22" x14ac:dyDescent="0.3">
      <c r="H15" s="898">
        <v>43967</v>
      </c>
      <c r="I15" s="209">
        <v>513</v>
      </c>
      <c r="J15" s="542">
        <f t="shared" si="3"/>
        <v>-18</v>
      </c>
      <c r="K15" s="209"/>
      <c r="L15" s="774">
        <f t="shared" ref="L15:L17" si="5">S15/26*J15</f>
        <v>-4.1538461538461542</v>
      </c>
      <c r="M15" s="417">
        <f t="shared" ref="M15:M17" si="6">13/26*J15</f>
        <v>-9</v>
      </c>
      <c r="N15" s="417">
        <f t="shared" ref="N15:N17" si="7">J15-SUM(L15:M15)</f>
        <v>-4.8461538461538467</v>
      </c>
      <c r="O15" s="417"/>
      <c r="P15" s="417"/>
      <c r="Q15" s="417"/>
      <c r="R15" s="900"/>
      <c r="S15" s="209">
        <f t="shared" si="4"/>
        <v>6</v>
      </c>
      <c r="T15" s="209"/>
      <c r="U15" s="209"/>
      <c r="V15" s="209"/>
    </row>
    <row r="16" spans="8:22" x14ac:dyDescent="0.3">
      <c r="H16" s="898">
        <v>43974</v>
      </c>
      <c r="I16" s="209">
        <v>511</v>
      </c>
      <c r="J16" s="542">
        <f t="shared" si="3"/>
        <v>-2</v>
      </c>
      <c r="K16" s="209"/>
      <c r="L16" s="774">
        <f t="shared" si="5"/>
        <v>-0.38461538461538464</v>
      </c>
      <c r="M16" s="417">
        <f t="shared" si="6"/>
        <v>-1</v>
      </c>
      <c r="N16" s="417">
        <f t="shared" si="7"/>
        <v>-0.61538461538461542</v>
      </c>
      <c r="O16" s="417"/>
      <c r="P16" s="417"/>
      <c r="Q16" s="417"/>
      <c r="R16" s="900"/>
      <c r="S16" s="209">
        <f t="shared" si="4"/>
        <v>5</v>
      </c>
      <c r="T16" s="209"/>
      <c r="U16" s="209"/>
      <c r="V16" s="209"/>
    </row>
    <row r="17" spans="8:22" x14ac:dyDescent="0.3">
      <c r="H17" s="898">
        <v>43981</v>
      </c>
      <c r="I17" s="209">
        <v>510</v>
      </c>
      <c r="J17" s="542">
        <f t="shared" si="3"/>
        <v>-1</v>
      </c>
      <c r="K17" s="209"/>
      <c r="L17" s="774">
        <f t="shared" si="5"/>
        <v>-0.15384615384615385</v>
      </c>
      <c r="M17" s="417">
        <f t="shared" si="6"/>
        <v>-0.5</v>
      </c>
      <c r="N17" s="417">
        <f t="shared" si="7"/>
        <v>-0.34615384615384615</v>
      </c>
      <c r="O17" s="417"/>
      <c r="P17" s="417"/>
      <c r="Q17" s="417"/>
      <c r="R17" s="900"/>
      <c r="S17" s="209">
        <f t="shared" si="4"/>
        <v>4</v>
      </c>
      <c r="T17" s="209"/>
      <c r="U17" s="209"/>
      <c r="V17" s="209"/>
    </row>
    <row r="18" spans="8:22" x14ac:dyDescent="0.3">
      <c r="H18" s="898">
        <v>43988</v>
      </c>
      <c r="I18" s="209">
        <v>511</v>
      </c>
      <c r="J18" s="542">
        <f t="shared" si="3"/>
        <v>1</v>
      </c>
      <c r="K18" s="209"/>
      <c r="L18" s="774">
        <f t="shared" si="0"/>
        <v>0.11538461538461539</v>
      </c>
      <c r="M18" s="417">
        <f t="shared" si="1"/>
        <v>0.5</v>
      </c>
      <c r="N18" s="417">
        <f t="shared" si="2"/>
        <v>0.38461538461538458</v>
      </c>
      <c r="O18" s="417"/>
      <c r="P18" s="417"/>
      <c r="Q18" s="417"/>
      <c r="R18" s="900"/>
      <c r="S18" s="209">
        <f t="shared" si="4"/>
        <v>3</v>
      </c>
      <c r="T18" s="209"/>
      <c r="U18" s="209"/>
      <c r="V18" s="209"/>
    </row>
    <row r="19" spans="8:22" x14ac:dyDescent="0.3">
      <c r="H19" s="898">
        <v>43994</v>
      </c>
      <c r="I19" s="209">
        <v>512</v>
      </c>
      <c r="J19" s="542">
        <f t="shared" si="3"/>
        <v>1</v>
      </c>
      <c r="K19" s="209"/>
      <c r="L19" s="774">
        <f t="shared" si="0"/>
        <v>7.6923076923076927E-2</v>
      </c>
      <c r="M19" s="417">
        <f t="shared" si="1"/>
        <v>0.5</v>
      </c>
      <c r="N19" s="417">
        <f t="shared" si="2"/>
        <v>0.42307692307692313</v>
      </c>
      <c r="O19" s="417"/>
      <c r="P19" s="417"/>
      <c r="Q19" s="417"/>
      <c r="R19" s="900"/>
      <c r="S19" s="209">
        <f t="shared" si="4"/>
        <v>2</v>
      </c>
      <c r="T19" s="209"/>
      <c r="U19" s="209"/>
      <c r="V19" s="209"/>
    </row>
    <row r="20" spans="8:22" x14ac:dyDescent="0.3">
      <c r="H20" s="898">
        <v>44002</v>
      </c>
      <c r="I20" s="209">
        <v>515</v>
      </c>
      <c r="J20" s="542">
        <f t="shared" si="3"/>
        <v>3</v>
      </c>
      <c r="K20" s="209"/>
      <c r="L20" s="774">
        <f t="shared" si="0"/>
        <v>0.11538461538461539</v>
      </c>
      <c r="M20" s="417">
        <f t="shared" si="1"/>
        <v>1.5</v>
      </c>
      <c r="N20" s="417">
        <f t="shared" si="2"/>
        <v>1.3846153846153846</v>
      </c>
      <c r="O20" s="417"/>
      <c r="P20" s="417"/>
      <c r="Q20" s="417"/>
      <c r="R20" s="900"/>
      <c r="S20" s="209">
        <f t="shared" si="4"/>
        <v>1</v>
      </c>
      <c r="T20" s="209"/>
      <c r="U20" s="209"/>
      <c r="V20" s="209"/>
    </row>
    <row r="21" spans="8:22" x14ac:dyDescent="0.3">
      <c r="H21" s="898">
        <v>44009</v>
      </c>
      <c r="I21" s="209">
        <v>519</v>
      </c>
      <c r="J21" s="542">
        <f t="shared" si="3"/>
        <v>4</v>
      </c>
      <c r="K21" s="209"/>
      <c r="L21" s="774"/>
      <c r="M21" s="417">
        <f>S21/26*J21</f>
        <v>2</v>
      </c>
      <c r="N21" s="417">
        <f t="shared" si="2"/>
        <v>2</v>
      </c>
      <c r="O21" s="417"/>
      <c r="P21" s="417"/>
      <c r="Q21" s="417"/>
      <c r="R21" s="900"/>
      <c r="S21" s="209">
        <v>13</v>
      </c>
      <c r="T21" s="209"/>
      <c r="U21" s="209"/>
      <c r="V21" s="209"/>
    </row>
    <row r="22" spans="8:22" x14ac:dyDescent="0.3">
      <c r="H22" s="898">
        <v>44012</v>
      </c>
      <c r="I22" s="209">
        <v>521</v>
      </c>
      <c r="J22" s="542">
        <f t="shared" si="3"/>
        <v>2</v>
      </c>
      <c r="K22" s="209"/>
      <c r="L22" s="774"/>
      <c r="M22" s="417">
        <f t="shared" ref="M22:M26" si="8">S22/26*J22</f>
        <v>1</v>
      </c>
      <c r="N22" s="417">
        <f>J22-SUM(L22:M22)</f>
        <v>1</v>
      </c>
      <c r="O22" s="417"/>
      <c r="P22" s="417"/>
      <c r="Q22" s="417"/>
      <c r="R22" s="900"/>
      <c r="S22" s="209">
        <v>13</v>
      </c>
      <c r="T22" s="209"/>
      <c r="U22" s="209"/>
      <c r="V22" s="209"/>
    </row>
    <row r="23" spans="8:22" x14ac:dyDescent="0.3">
      <c r="H23" s="898">
        <v>44029</v>
      </c>
      <c r="I23" s="209">
        <v>518</v>
      </c>
      <c r="J23" s="542">
        <f t="shared" si="3"/>
        <v>-3</v>
      </c>
      <c r="K23" s="209"/>
      <c r="L23" s="774"/>
      <c r="M23" s="417">
        <f t="shared" ref="M23" si="9">S23/26*J23</f>
        <v>-1.153846153846154</v>
      </c>
      <c r="N23" s="417">
        <f t="shared" ref="N23" si="10">13/26*J23</f>
        <v>-1.5</v>
      </c>
      <c r="O23" s="417">
        <f t="shared" ref="O23" si="11">J23-N23-M23</f>
        <v>-0.34615384615384603</v>
      </c>
      <c r="P23" s="417"/>
      <c r="Q23" s="417"/>
      <c r="R23" s="900"/>
      <c r="S23" s="209">
        <f>S22-3</f>
        <v>10</v>
      </c>
      <c r="T23" s="209"/>
      <c r="U23" s="209"/>
      <c r="V23" s="209"/>
    </row>
    <row r="24" spans="8:22" x14ac:dyDescent="0.3">
      <c r="H24" s="898">
        <v>44036</v>
      </c>
      <c r="I24" s="209">
        <v>520</v>
      </c>
      <c r="J24" s="542">
        <f t="shared" si="3"/>
        <v>2</v>
      </c>
      <c r="K24" s="209"/>
      <c r="L24" s="774"/>
      <c r="M24" s="417">
        <f t="shared" si="8"/>
        <v>0.69230769230769229</v>
      </c>
      <c r="N24" s="417">
        <f t="shared" ref="N24:N26" si="12">13/26*J24</f>
        <v>1</v>
      </c>
      <c r="O24" s="417">
        <f t="shared" ref="O24:O26" si="13">J24-N24-M24</f>
        <v>0.30769230769230771</v>
      </c>
      <c r="P24" s="417"/>
      <c r="Q24" s="417"/>
      <c r="R24" s="900"/>
      <c r="S24" s="209">
        <f>S23-1</f>
        <v>9</v>
      </c>
      <c r="T24" s="209"/>
      <c r="U24" s="209"/>
      <c r="V24" s="209"/>
    </row>
    <row r="25" spans="8:22" x14ac:dyDescent="0.3">
      <c r="H25" s="898">
        <v>44043</v>
      </c>
      <c r="I25" s="209">
        <v>521</v>
      </c>
      <c r="J25" s="542">
        <f t="shared" si="3"/>
        <v>1</v>
      </c>
      <c r="K25" s="209"/>
      <c r="L25" s="774"/>
      <c r="M25" s="417">
        <f t="shared" si="8"/>
        <v>0.30769230769230771</v>
      </c>
      <c r="N25" s="417">
        <f t="shared" si="12"/>
        <v>0.5</v>
      </c>
      <c r="O25" s="417">
        <f t="shared" si="13"/>
        <v>0.19230769230769229</v>
      </c>
      <c r="P25" s="417"/>
      <c r="Q25" s="417"/>
      <c r="R25" s="900"/>
      <c r="S25" s="209">
        <f>S24-1</f>
        <v>8</v>
      </c>
      <c r="T25" s="209"/>
      <c r="U25" s="209"/>
      <c r="V25" s="209"/>
    </row>
    <row r="26" spans="8:22" x14ac:dyDescent="0.3">
      <c r="H26" s="898">
        <v>44051</v>
      </c>
      <c r="I26" s="209">
        <v>525</v>
      </c>
      <c r="J26" s="542">
        <f t="shared" si="3"/>
        <v>4</v>
      </c>
      <c r="K26" s="209"/>
      <c r="L26" s="774"/>
      <c r="M26" s="417">
        <f t="shared" si="8"/>
        <v>1.0769230769230769</v>
      </c>
      <c r="N26" s="417">
        <f t="shared" si="12"/>
        <v>2</v>
      </c>
      <c r="O26" s="417">
        <f t="shared" si="13"/>
        <v>0.92307692307692313</v>
      </c>
      <c r="P26" s="417"/>
      <c r="Q26" s="417"/>
      <c r="R26" s="900"/>
      <c r="S26" s="209">
        <f>S25-1</f>
        <v>7</v>
      </c>
      <c r="T26" s="209"/>
      <c r="U26" s="209"/>
      <c r="V26" s="209"/>
    </row>
    <row r="27" spans="8:22" x14ac:dyDescent="0.3">
      <c r="H27" s="898">
        <v>44220</v>
      </c>
      <c r="I27" s="209">
        <v>558</v>
      </c>
      <c r="J27" s="542">
        <f t="shared" si="3"/>
        <v>33</v>
      </c>
      <c r="K27" s="209"/>
      <c r="L27" s="774"/>
      <c r="M27" s="417"/>
      <c r="N27" s="417"/>
      <c r="O27" s="417">
        <f>S27/26*J27</f>
        <v>12.692307692307693</v>
      </c>
      <c r="P27" s="417">
        <f>J27/2</f>
        <v>16.5</v>
      </c>
      <c r="Q27" s="417">
        <f>J27-P27-O27</f>
        <v>3.8076923076923066</v>
      </c>
      <c r="R27" s="900"/>
      <c r="S27" s="209">
        <v>10</v>
      </c>
      <c r="T27" s="209">
        <v>10</v>
      </c>
      <c r="U27" s="209"/>
      <c r="V27" s="209"/>
    </row>
    <row r="28" spans="8:22" x14ac:dyDescent="0.3">
      <c r="H28" s="898">
        <v>44227</v>
      </c>
      <c r="I28" s="209">
        <v>596</v>
      </c>
      <c r="J28" s="542">
        <f t="shared" si="3"/>
        <v>38</v>
      </c>
      <c r="K28" s="209"/>
      <c r="L28" s="774"/>
      <c r="M28" s="417"/>
      <c r="N28" s="417"/>
      <c r="O28" s="417">
        <f t="shared" ref="O28:O36" si="14">S28/26*J28</f>
        <v>13.153846153846153</v>
      </c>
      <c r="P28" s="417">
        <f t="shared" ref="P28:P36" si="15">J28/2</f>
        <v>19</v>
      </c>
      <c r="Q28" s="417">
        <f t="shared" ref="Q28:Q36" si="16">J28-P28-O28</f>
        <v>5.8461538461538467</v>
      </c>
      <c r="R28" s="900"/>
      <c r="S28" s="209">
        <f>S27-1</f>
        <v>9</v>
      </c>
      <c r="T28" s="209">
        <f>T27-1</f>
        <v>9</v>
      </c>
      <c r="U28" s="209"/>
      <c r="V28" s="209"/>
    </row>
    <row r="29" spans="8:22" x14ac:dyDescent="0.3">
      <c r="H29" s="898">
        <v>44234</v>
      </c>
      <c r="I29" s="209">
        <v>623</v>
      </c>
      <c r="J29" s="542">
        <f t="shared" si="3"/>
        <v>27</v>
      </c>
      <c r="K29" s="209"/>
      <c r="L29" s="774"/>
      <c r="M29" s="417"/>
      <c r="N29" s="417"/>
      <c r="O29" s="417">
        <f t="shared" si="14"/>
        <v>8.3076923076923084</v>
      </c>
      <c r="P29" s="417">
        <f t="shared" si="15"/>
        <v>13.5</v>
      </c>
      <c r="Q29" s="417">
        <f t="shared" si="16"/>
        <v>5.1923076923076916</v>
      </c>
      <c r="R29" s="900"/>
      <c r="S29" s="209">
        <f t="shared" ref="S29:S36" si="17">S28-1</f>
        <v>8</v>
      </c>
      <c r="T29" s="209">
        <f t="shared" ref="T29:T36" si="18">T28-1</f>
        <v>8</v>
      </c>
      <c r="U29" s="209"/>
      <c r="V29" s="209"/>
    </row>
    <row r="30" spans="8:22" x14ac:dyDescent="0.3">
      <c r="H30" s="898">
        <v>44242</v>
      </c>
      <c r="I30" s="209">
        <v>648</v>
      </c>
      <c r="J30" s="542">
        <f t="shared" si="3"/>
        <v>25</v>
      </c>
      <c r="K30" s="209"/>
      <c r="L30" s="774"/>
      <c r="M30" s="417"/>
      <c r="N30" s="417"/>
      <c r="O30" s="417">
        <f t="shared" si="14"/>
        <v>6.7307692307692308</v>
      </c>
      <c r="P30" s="417">
        <f t="shared" si="15"/>
        <v>12.5</v>
      </c>
      <c r="Q30" s="417">
        <f t="shared" si="16"/>
        <v>5.7692307692307692</v>
      </c>
      <c r="R30" s="900"/>
      <c r="S30" s="209">
        <f t="shared" si="17"/>
        <v>7</v>
      </c>
      <c r="T30" s="209">
        <f t="shared" si="18"/>
        <v>7</v>
      </c>
      <c r="U30" s="209"/>
      <c r="V30" s="209"/>
    </row>
    <row r="31" spans="8:22" x14ac:dyDescent="0.3">
      <c r="H31" s="898">
        <v>44248</v>
      </c>
      <c r="I31" s="209">
        <v>663</v>
      </c>
      <c r="J31" s="542">
        <f t="shared" si="3"/>
        <v>15</v>
      </c>
      <c r="K31" s="209"/>
      <c r="L31" s="774"/>
      <c r="M31" s="417"/>
      <c r="N31" s="417"/>
      <c r="O31" s="417">
        <f t="shared" si="14"/>
        <v>3.4615384615384617</v>
      </c>
      <c r="P31" s="417">
        <f t="shared" si="15"/>
        <v>7.5</v>
      </c>
      <c r="Q31" s="417">
        <f t="shared" si="16"/>
        <v>4.0384615384615383</v>
      </c>
      <c r="R31" s="900"/>
      <c r="S31" s="209">
        <f t="shared" si="17"/>
        <v>6</v>
      </c>
      <c r="T31" s="209">
        <f t="shared" si="18"/>
        <v>6</v>
      </c>
      <c r="U31" s="209"/>
      <c r="V31" s="209"/>
    </row>
    <row r="32" spans="8:22" x14ac:dyDescent="0.3">
      <c r="H32" s="898">
        <v>44255</v>
      </c>
      <c r="I32" s="209">
        <v>679</v>
      </c>
      <c r="J32" s="542">
        <f t="shared" si="3"/>
        <v>16</v>
      </c>
      <c r="K32" s="209"/>
      <c r="L32" s="774"/>
      <c r="M32" s="417"/>
      <c r="N32" s="417"/>
      <c r="O32" s="417">
        <f t="shared" si="14"/>
        <v>3.0769230769230771</v>
      </c>
      <c r="P32" s="417">
        <f t="shared" si="15"/>
        <v>8</v>
      </c>
      <c r="Q32" s="417">
        <f t="shared" si="16"/>
        <v>4.9230769230769234</v>
      </c>
      <c r="R32" s="900"/>
      <c r="S32" s="209">
        <f t="shared" si="17"/>
        <v>5</v>
      </c>
      <c r="T32" s="209">
        <f t="shared" si="18"/>
        <v>5</v>
      </c>
      <c r="U32" s="209"/>
      <c r="V32" s="209"/>
    </row>
    <row r="33" spans="8:22" x14ac:dyDescent="0.3">
      <c r="H33" s="898">
        <v>44262</v>
      </c>
      <c r="I33" s="209">
        <v>687</v>
      </c>
      <c r="J33" s="542">
        <f t="shared" si="3"/>
        <v>8</v>
      </c>
      <c r="K33" s="209"/>
      <c r="L33" s="774"/>
      <c r="M33" s="417"/>
      <c r="N33" s="417"/>
      <c r="O33" s="417">
        <f t="shared" si="14"/>
        <v>1.2307692307692308</v>
      </c>
      <c r="P33" s="417">
        <f t="shared" si="15"/>
        <v>4</v>
      </c>
      <c r="Q33" s="417">
        <f t="shared" si="16"/>
        <v>2.7692307692307692</v>
      </c>
      <c r="R33" s="900"/>
      <c r="S33" s="209">
        <f t="shared" si="17"/>
        <v>4</v>
      </c>
      <c r="T33" s="209">
        <f t="shared" si="18"/>
        <v>4</v>
      </c>
      <c r="U33" s="209"/>
      <c r="V33" s="209"/>
    </row>
    <row r="34" spans="8:22" x14ac:dyDescent="0.3">
      <c r="H34" s="898">
        <v>44269</v>
      </c>
      <c r="I34" s="209">
        <v>704</v>
      </c>
      <c r="J34" s="542">
        <f t="shared" si="3"/>
        <v>17</v>
      </c>
      <c r="K34" s="209"/>
      <c r="L34" s="774"/>
      <c r="M34" s="417"/>
      <c r="N34" s="417"/>
      <c r="O34" s="417">
        <f t="shared" si="14"/>
        <v>1.9615384615384617</v>
      </c>
      <c r="P34" s="417">
        <f t="shared" si="15"/>
        <v>8.5</v>
      </c>
      <c r="Q34" s="417">
        <f t="shared" si="16"/>
        <v>6.5384615384615383</v>
      </c>
      <c r="R34" s="900"/>
      <c r="S34" s="209">
        <f t="shared" si="17"/>
        <v>3</v>
      </c>
      <c r="T34" s="209">
        <f t="shared" si="18"/>
        <v>3</v>
      </c>
      <c r="U34" s="209"/>
      <c r="V34" s="209"/>
    </row>
    <row r="35" spans="8:22" x14ac:dyDescent="0.3">
      <c r="H35" s="898">
        <v>44276</v>
      </c>
      <c r="I35" s="209">
        <v>718</v>
      </c>
      <c r="J35" s="542">
        <f t="shared" si="3"/>
        <v>14</v>
      </c>
      <c r="K35" s="209"/>
      <c r="L35" s="774"/>
      <c r="M35" s="417"/>
      <c r="N35" s="417"/>
      <c r="O35" s="417">
        <f t="shared" si="14"/>
        <v>1.0769230769230771</v>
      </c>
      <c r="P35" s="417">
        <f t="shared" si="15"/>
        <v>7</v>
      </c>
      <c r="Q35" s="417">
        <f t="shared" si="16"/>
        <v>5.9230769230769234</v>
      </c>
      <c r="R35" s="900"/>
      <c r="S35" s="209">
        <f t="shared" si="17"/>
        <v>2</v>
      </c>
      <c r="T35" s="209">
        <f t="shared" si="18"/>
        <v>2</v>
      </c>
      <c r="U35" s="209"/>
      <c r="V35" s="209"/>
    </row>
    <row r="36" spans="8:22" x14ac:dyDescent="0.3">
      <c r="H36" s="898">
        <v>44283</v>
      </c>
      <c r="I36" s="209">
        <v>734</v>
      </c>
      <c r="J36" s="542">
        <f t="shared" si="3"/>
        <v>16</v>
      </c>
      <c r="K36" s="209"/>
      <c r="L36" s="774"/>
      <c r="M36" s="417"/>
      <c r="N36" s="417"/>
      <c r="O36" s="417">
        <f t="shared" si="14"/>
        <v>0.61538461538461542</v>
      </c>
      <c r="P36" s="417">
        <f t="shared" si="15"/>
        <v>8</v>
      </c>
      <c r="Q36" s="417">
        <f t="shared" si="16"/>
        <v>7.384615384615385</v>
      </c>
      <c r="R36" s="900"/>
      <c r="S36" s="209">
        <f t="shared" si="17"/>
        <v>1</v>
      </c>
      <c r="T36" s="209">
        <f t="shared" si="18"/>
        <v>1</v>
      </c>
      <c r="U36" s="209"/>
      <c r="V36" s="209"/>
    </row>
    <row r="37" spans="8:22" x14ac:dyDescent="0.3">
      <c r="H37" s="898">
        <v>44290</v>
      </c>
      <c r="I37" s="209">
        <v>746</v>
      </c>
      <c r="J37" s="542">
        <f t="shared" si="3"/>
        <v>12</v>
      </c>
      <c r="K37" s="209"/>
      <c r="L37" s="774"/>
      <c r="M37" s="417"/>
      <c r="N37" s="417"/>
      <c r="O37" s="417"/>
      <c r="P37" s="417">
        <f>T37/26*J37</f>
        <v>6</v>
      </c>
      <c r="Q37" s="417">
        <f>J37/2</f>
        <v>6</v>
      </c>
      <c r="R37" s="900">
        <f>J37-Q37-P37</f>
        <v>0</v>
      </c>
      <c r="S37" s="209">
        <v>13</v>
      </c>
      <c r="T37" s="209">
        <v>13</v>
      </c>
      <c r="U37" s="209"/>
      <c r="V37" s="209"/>
    </row>
    <row r="38" spans="8:22" x14ac:dyDescent="0.3">
      <c r="H38" s="898">
        <v>44297</v>
      </c>
      <c r="I38" s="209">
        <v>755</v>
      </c>
      <c r="J38" s="542">
        <f t="shared" si="3"/>
        <v>9</v>
      </c>
      <c r="K38" s="209"/>
      <c r="L38" s="774"/>
      <c r="M38" s="417"/>
      <c r="N38" s="417"/>
      <c r="O38" s="417"/>
      <c r="P38" s="417">
        <f t="shared" ref="P38:P45" si="19">T38/26*J38</f>
        <v>4.1538461538461542</v>
      </c>
      <c r="Q38" s="417">
        <f t="shared" ref="Q38:Q45" si="20">J38/2</f>
        <v>4.5</v>
      </c>
      <c r="R38" s="900">
        <f t="shared" ref="R38:R45" si="21">J38-Q38-P38</f>
        <v>0.34615384615384581</v>
      </c>
      <c r="S38" s="209">
        <f>S37-1</f>
        <v>12</v>
      </c>
      <c r="T38" s="209">
        <f>T37-1</f>
        <v>12</v>
      </c>
      <c r="U38" s="209"/>
      <c r="V38" s="209"/>
    </row>
    <row r="39" spans="8:22" x14ac:dyDescent="0.3">
      <c r="H39" s="898">
        <v>44304</v>
      </c>
      <c r="I39" s="209">
        <v>762</v>
      </c>
      <c r="J39" s="542">
        <f t="shared" si="3"/>
        <v>7</v>
      </c>
      <c r="K39" s="209"/>
      <c r="L39" s="774"/>
      <c r="M39" s="417"/>
      <c r="N39" s="417"/>
      <c r="O39" s="417"/>
      <c r="P39" s="417">
        <f t="shared" si="19"/>
        <v>2.9615384615384617</v>
      </c>
      <c r="Q39" s="417">
        <f t="shared" si="20"/>
        <v>3.5</v>
      </c>
      <c r="R39" s="900">
        <f t="shared" si="21"/>
        <v>0.53846153846153832</v>
      </c>
      <c r="S39" s="209">
        <f t="shared" ref="S39:S45" si="22">S38-1</f>
        <v>11</v>
      </c>
      <c r="T39" s="209">
        <f t="shared" ref="T39:T45" si="23">T38-1</f>
        <v>11</v>
      </c>
      <c r="U39" s="209"/>
      <c r="V39" s="209"/>
    </row>
    <row r="40" spans="8:22" x14ac:dyDescent="0.3">
      <c r="H40" s="898">
        <v>44311</v>
      </c>
      <c r="I40" s="209">
        <v>771</v>
      </c>
      <c r="J40" s="542">
        <f t="shared" si="3"/>
        <v>9</v>
      </c>
      <c r="K40" s="209"/>
      <c r="L40" s="774"/>
      <c r="M40" s="417"/>
      <c r="N40" s="417"/>
      <c r="O40" s="417"/>
      <c r="P40" s="417">
        <f t="shared" si="19"/>
        <v>3.4615384615384617</v>
      </c>
      <c r="Q40" s="417">
        <f t="shared" si="20"/>
        <v>4.5</v>
      </c>
      <c r="R40" s="900">
        <f t="shared" si="21"/>
        <v>1.0384615384615383</v>
      </c>
      <c r="S40" s="209">
        <f t="shared" si="22"/>
        <v>10</v>
      </c>
      <c r="T40" s="209">
        <f t="shared" si="23"/>
        <v>10</v>
      </c>
      <c r="U40" s="209"/>
      <c r="V40" s="209"/>
    </row>
    <row r="41" spans="8:22" x14ac:dyDescent="0.3">
      <c r="H41" s="898">
        <v>44318</v>
      </c>
      <c r="I41" s="209">
        <v>780</v>
      </c>
      <c r="J41" s="542">
        <f t="shared" si="3"/>
        <v>9</v>
      </c>
      <c r="K41" s="209"/>
      <c r="L41" s="774"/>
      <c r="M41" s="417"/>
      <c r="N41" s="417"/>
      <c r="O41" s="417"/>
      <c r="P41" s="417">
        <f t="shared" si="19"/>
        <v>3.1153846153846154</v>
      </c>
      <c r="Q41" s="417">
        <f t="shared" si="20"/>
        <v>4.5</v>
      </c>
      <c r="R41" s="900">
        <f t="shared" si="21"/>
        <v>1.3846153846153846</v>
      </c>
      <c r="S41" s="209">
        <f t="shared" si="22"/>
        <v>9</v>
      </c>
      <c r="T41" s="209">
        <f t="shared" si="23"/>
        <v>9</v>
      </c>
      <c r="U41" s="209"/>
      <c r="V41" s="209"/>
    </row>
    <row r="42" spans="8:22" x14ac:dyDescent="0.3">
      <c r="H42" s="898">
        <v>44325</v>
      </c>
      <c r="I42" s="209">
        <v>782</v>
      </c>
      <c r="J42" s="542">
        <f t="shared" si="3"/>
        <v>2</v>
      </c>
      <c r="K42" s="209"/>
      <c r="L42" s="774"/>
      <c r="M42" s="417"/>
      <c r="N42" s="417"/>
      <c r="O42" s="417"/>
      <c r="P42" s="417">
        <f t="shared" si="19"/>
        <v>0.61538461538461542</v>
      </c>
      <c r="Q42" s="417">
        <f t="shared" si="20"/>
        <v>1</v>
      </c>
      <c r="R42" s="900">
        <f t="shared" si="21"/>
        <v>0.38461538461538458</v>
      </c>
      <c r="S42" s="209">
        <f t="shared" si="22"/>
        <v>8</v>
      </c>
      <c r="T42" s="209">
        <f t="shared" si="23"/>
        <v>8</v>
      </c>
      <c r="U42" s="209"/>
      <c r="V42" s="209"/>
    </row>
    <row r="43" spans="8:22" x14ac:dyDescent="0.3">
      <c r="H43" s="898">
        <v>44332</v>
      </c>
      <c r="I43" s="209">
        <v>788</v>
      </c>
      <c r="J43" s="542">
        <f t="shared" si="3"/>
        <v>6</v>
      </c>
      <c r="K43" s="209"/>
      <c r="L43" s="774"/>
      <c r="M43" s="417"/>
      <c r="N43" s="417"/>
      <c r="O43" s="417"/>
      <c r="P43" s="417">
        <f t="shared" si="19"/>
        <v>1.6153846153846154</v>
      </c>
      <c r="Q43" s="417">
        <f t="shared" si="20"/>
        <v>3</v>
      </c>
      <c r="R43" s="900">
        <f t="shared" si="21"/>
        <v>1.3846153846153846</v>
      </c>
      <c r="S43" s="209">
        <f t="shared" si="22"/>
        <v>7</v>
      </c>
      <c r="T43" s="209">
        <f t="shared" si="23"/>
        <v>7</v>
      </c>
      <c r="U43" s="209"/>
      <c r="V43" s="209"/>
    </row>
    <row r="44" spans="8:22" x14ac:dyDescent="0.3">
      <c r="H44" s="898">
        <v>44339</v>
      </c>
      <c r="I44" s="209">
        <v>796</v>
      </c>
      <c r="J44" s="542">
        <f t="shared" si="3"/>
        <v>8</v>
      </c>
      <c r="K44" s="209"/>
      <c r="L44" s="774"/>
      <c r="M44" s="417"/>
      <c r="N44" s="417"/>
      <c r="O44" s="417"/>
      <c r="P44" s="417">
        <f t="shared" si="19"/>
        <v>1.8461538461538463</v>
      </c>
      <c r="Q44" s="417">
        <f t="shared" si="20"/>
        <v>4</v>
      </c>
      <c r="R44" s="900">
        <f t="shared" si="21"/>
        <v>2.1538461538461537</v>
      </c>
      <c r="S44" s="209">
        <f t="shared" si="22"/>
        <v>6</v>
      </c>
      <c r="T44" s="209">
        <f t="shared" si="23"/>
        <v>6</v>
      </c>
      <c r="U44" s="209"/>
      <c r="V44" s="209"/>
    </row>
    <row r="45" spans="8:22" x14ac:dyDescent="0.3">
      <c r="H45" s="899">
        <v>44347</v>
      </c>
      <c r="I45" s="537">
        <v>800</v>
      </c>
      <c r="J45" s="543">
        <f t="shared" si="3"/>
        <v>4</v>
      </c>
      <c r="K45" s="209"/>
      <c r="L45" s="774"/>
      <c r="M45" s="417"/>
      <c r="N45" s="417"/>
      <c r="O45" s="417"/>
      <c r="P45" s="417">
        <f t="shared" si="19"/>
        <v>0.76923076923076927</v>
      </c>
      <c r="Q45" s="417">
        <f t="shared" si="20"/>
        <v>2</v>
      </c>
      <c r="R45" s="900">
        <f t="shared" si="21"/>
        <v>1.2307692307692308</v>
      </c>
      <c r="S45" s="209">
        <f t="shared" si="22"/>
        <v>5</v>
      </c>
      <c r="T45" s="209">
        <f t="shared" si="23"/>
        <v>5</v>
      </c>
      <c r="U45" s="209"/>
      <c r="V45" s="209"/>
    </row>
    <row r="46" spans="8:22" x14ac:dyDescent="0.3">
      <c r="H46" s="209"/>
      <c r="I46" s="209"/>
      <c r="J46" s="209"/>
      <c r="K46" s="209"/>
      <c r="L46" s="774">
        <f>SUM(L11:L45)</f>
        <v>184.80769230769229</v>
      </c>
      <c r="M46" s="417">
        <f t="shared" ref="M46:R46" si="24">SUM(M11:M45)</f>
        <v>261.42307692307696</v>
      </c>
      <c r="N46" s="417">
        <f t="shared" si="24"/>
        <v>77.692307692307693</v>
      </c>
      <c r="O46" s="417">
        <f t="shared" si="24"/>
        <v>53.384615384615394</v>
      </c>
      <c r="P46" s="417">
        <f t="shared" si="24"/>
        <v>129.03846153846155</v>
      </c>
      <c r="Q46" s="417">
        <f t="shared" si="24"/>
        <v>85.192307692307693</v>
      </c>
      <c r="R46" s="900">
        <f t="shared" si="24"/>
        <v>8.4615384615384599</v>
      </c>
      <c r="S46" s="209"/>
      <c r="T46" s="209"/>
      <c r="U46" s="209"/>
      <c r="V46" s="209"/>
    </row>
    <row r="47" spans="8:22" x14ac:dyDescent="0.3">
      <c r="H47" s="209"/>
      <c r="I47" s="209"/>
      <c r="J47" s="209"/>
      <c r="K47" s="209"/>
      <c r="L47" s="775">
        <f>L46*4</f>
        <v>739.23076923076917</v>
      </c>
      <c r="M47" s="776">
        <f t="shared" ref="M47:R47" si="25">M46*4</f>
        <v>1045.6923076923078</v>
      </c>
      <c r="N47" s="776">
        <f t="shared" si="25"/>
        <v>310.76923076923077</v>
      </c>
      <c r="O47" s="776">
        <f t="shared" si="25"/>
        <v>213.53846153846158</v>
      </c>
      <c r="P47" s="776">
        <f t="shared" si="25"/>
        <v>516.15384615384619</v>
      </c>
      <c r="Q47" s="776">
        <f t="shared" si="25"/>
        <v>340.76923076923077</v>
      </c>
      <c r="R47" s="901">
        <f t="shared" si="25"/>
        <v>33.84615384615384</v>
      </c>
      <c r="S47" s="209" t="s">
        <v>370</v>
      </c>
      <c r="T47" s="209"/>
      <c r="U47" s="209"/>
      <c r="V47" s="209"/>
    </row>
    <row r="48" spans="8:22" x14ac:dyDescent="0.3">
      <c r="J48" s="213" t="s">
        <v>371</v>
      </c>
      <c r="L48" s="213">
        <v>634</v>
      </c>
      <c r="M48" s="645">
        <f>K55</f>
        <v>900.7</v>
      </c>
      <c r="N48" s="645">
        <f t="shared" ref="N48:P48" si="26">L55</f>
        <v>270.7</v>
      </c>
      <c r="O48" s="645">
        <f t="shared" si="26"/>
        <v>208.7</v>
      </c>
      <c r="P48" s="645">
        <f t="shared" si="26"/>
        <v>469.7</v>
      </c>
      <c r="Q48" s="645">
        <v>279</v>
      </c>
      <c r="R48" s="645"/>
    </row>
    <row r="50" spans="8:29" x14ac:dyDescent="0.3">
      <c r="H50" s="1372" t="s">
        <v>372</v>
      </c>
      <c r="I50" s="1373"/>
      <c r="J50" s="1334" t="s">
        <v>325</v>
      </c>
      <c r="K50" s="1335"/>
      <c r="L50" s="1335"/>
      <c r="M50" s="1339"/>
      <c r="N50" s="1339"/>
      <c r="O50" s="1339"/>
      <c r="P50" s="1281"/>
      <c r="Q50" s="491"/>
      <c r="R50" s="491"/>
      <c r="S50" s="491"/>
      <c r="T50" s="491"/>
      <c r="U50" s="491"/>
      <c r="V50" s="491"/>
      <c r="W50" s="491"/>
      <c r="X50" s="491"/>
      <c r="Y50" s="491"/>
    </row>
    <row r="51" spans="8:29" x14ac:dyDescent="0.3">
      <c r="H51" s="1374"/>
      <c r="I51" s="1375"/>
      <c r="J51" s="1273">
        <v>2020</v>
      </c>
      <c r="K51" s="1278"/>
      <c r="L51" s="1278"/>
      <c r="M51" s="1273">
        <v>2021</v>
      </c>
      <c r="N51" s="1278"/>
      <c r="O51" s="1278"/>
      <c r="P51" s="1279"/>
      <c r="Q51" s="1312"/>
      <c r="R51" s="1312"/>
      <c r="S51" s="1312"/>
      <c r="T51" s="1312"/>
      <c r="U51" s="1312"/>
      <c r="V51" s="1312"/>
      <c r="W51" s="1312"/>
      <c r="X51" s="1312"/>
    </row>
    <row r="52" spans="8:29" x14ac:dyDescent="0.3">
      <c r="H52" s="1397"/>
      <c r="I52" s="1398"/>
      <c r="J52" s="163" t="s">
        <v>329</v>
      </c>
      <c r="K52" s="176" t="s">
        <v>238</v>
      </c>
      <c r="L52" s="176" t="s">
        <v>327</v>
      </c>
      <c r="M52" s="622" t="s">
        <v>328</v>
      </c>
      <c r="N52" s="623" t="s">
        <v>329</v>
      </c>
      <c r="O52" s="623" t="s">
        <v>238</v>
      </c>
      <c r="P52" s="621" t="s">
        <v>327</v>
      </c>
      <c r="Q52" s="209"/>
      <c r="S52" s="213"/>
      <c r="T52" s="213"/>
      <c r="U52" s="209"/>
      <c r="V52" s="213"/>
      <c r="W52" s="213"/>
      <c r="X52" s="213"/>
      <c r="Y52" s="213"/>
      <c r="Z52" s="213"/>
      <c r="AA52" s="213"/>
    </row>
    <row r="53" spans="8:29" ht="32.85" customHeight="1" x14ac:dyDescent="0.3">
      <c r="H53" s="450" t="s">
        <v>373</v>
      </c>
      <c r="I53" s="209" t="s">
        <v>374</v>
      </c>
      <c r="J53" s="893">
        <f>'Haver Pivoted'!GU47</f>
        <v>57.2</v>
      </c>
      <c r="K53" s="907">
        <f>'Haver Pivoted'!GV47</f>
        <v>81.2</v>
      </c>
      <c r="L53" s="907">
        <f>'Haver Pivoted'!GW47</f>
        <v>24.4</v>
      </c>
      <c r="M53" s="214">
        <f>'Haver Pivoted'!GX47</f>
        <v>11.7</v>
      </c>
      <c r="N53" s="214">
        <f>'Haver Pivoted'!GY47</f>
        <v>28.5</v>
      </c>
      <c r="O53" s="279">
        <f>'Haver Pivoted'!GZ47</f>
        <v>18.8</v>
      </c>
      <c r="P53" s="279">
        <f>'Haver Pivoted'!HA47</f>
        <v>1.6</v>
      </c>
      <c r="Q53" s="214"/>
      <c r="S53" s="213"/>
      <c r="T53" s="213"/>
      <c r="U53" s="213"/>
      <c r="V53" s="213"/>
      <c r="W53" s="213"/>
      <c r="X53" s="213"/>
      <c r="Y53" s="213"/>
      <c r="Z53" s="213"/>
      <c r="AA53" s="213"/>
    </row>
    <row r="54" spans="8:29" ht="33.75" customHeight="1" x14ac:dyDescent="0.3">
      <c r="H54" s="450" t="s">
        <v>375</v>
      </c>
      <c r="I54" s="211" t="s">
        <v>376</v>
      </c>
      <c r="J54" s="892">
        <f>'Haver Pivoted'!GU49</f>
        <v>576.9</v>
      </c>
      <c r="K54" s="214">
        <f>'Haver Pivoted'!GV49</f>
        <v>819.5</v>
      </c>
      <c r="L54" s="214">
        <f>'Haver Pivoted'!GW49</f>
        <v>246.3</v>
      </c>
      <c r="M54" s="214">
        <f>'Haver Pivoted'!GX49</f>
        <v>197</v>
      </c>
      <c r="N54" s="214">
        <f>'Haver Pivoted'!GY49</f>
        <v>441.2</v>
      </c>
      <c r="O54" s="279">
        <f>'Haver Pivoted'!GZ49</f>
        <v>276.7</v>
      </c>
      <c r="P54" s="279">
        <f>'Haver Pivoted'!HA49</f>
        <v>28.2</v>
      </c>
      <c r="Q54" s="214"/>
      <c r="R54" s="214"/>
    </row>
    <row r="55" spans="8:29" x14ac:dyDescent="0.3">
      <c r="H55" s="544" t="s">
        <v>359</v>
      </c>
      <c r="I55" s="209"/>
      <c r="J55" s="892">
        <f>J54+J53</f>
        <v>634.1</v>
      </c>
      <c r="K55" s="214">
        <f t="shared" ref="K55:M55" si="27">K54+K53</f>
        <v>900.7</v>
      </c>
      <c r="L55" s="214">
        <f t="shared" si="27"/>
        <v>270.7</v>
      </c>
      <c r="M55" s="214">
        <f t="shared" si="27"/>
        <v>208.7</v>
      </c>
      <c r="N55" s="214">
        <f t="shared" ref="N55:P55" si="28">N54+N53</f>
        <v>469.7</v>
      </c>
      <c r="O55" s="279">
        <f t="shared" si="28"/>
        <v>295.5</v>
      </c>
      <c r="P55" s="279">
        <f t="shared" si="28"/>
        <v>29.8</v>
      </c>
      <c r="Q55" s="214"/>
      <c r="R55" s="214"/>
    </row>
    <row r="56" spans="8:29" x14ac:dyDescent="0.3">
      <c r="H56" s="263" t="s">
        <v>377</v>
      </c>
      <c r="I56" s="537"/>
      <c r="J56" s="777">
        <f t="shared" ref="J56:P56" si="29">J53/J55</f>
        <v>9.0206592020186091E-2</v>
      </c>
      <c r="K56" s="778">
        <f t="shared" si="29"/>
        <v>9.015210391917397E-2</v>
      </c>
      <c r="L56" s="778">
        <f t="shared" si="29"/>
        <v>9.0136682674547469E-2</v>
      </c>
      <c r="M56" s="778">
        <f t="shared" si="29"/>
        <v>5.6061332055582176E-2</v>
      </c>
      <c r="N56" s="778">
        <f t="shared" si="29"/>
        <v>6.0677027890142649E-2</v>
      </c>
      <c r="O56" s="779">
        <f t="shared" si="29"/>
        <v>6.3620981387478848E-2</v>
      </c>
      <c r="P56" s="779">
        <f t="shared" si="29"/>
        <v>5.3691275167785234E-2</v>
      </c>
      <c r="Q56" s="896"/>
      <c r="R56" s="727"/>
    </row>
    <row r="58" spans="8:29" x14ac:dyDescent="0.3">
      <c r="H58" s="213" t="s">
        <v>871</v>
      </c>
    </row>
    <row r="59" spans="8:29" x14ac:dyDescent="0.3">
      <c r="H59" s="449"/>
      <c r="I59" s="209"/>
      <c r="J59" s="214"/>
      <c r="K59" s="214"/>
      <c r="L59" s="214"/>
      <c r="M59" s="214"/>
      <c r="N59" s="214"/>
      <c r="O59" s="214"/>
      <c r="P59" s="482"/>
      <c r="Q59" s="214"/>
      <c r="R59" s="214"/>
      <c r="S59" s="214"/>
      <c r="T59" s="213"/>
      <c r="U59" s="213"/>
      <c r="V59" s="213"/>
      <c r="W59" s="213"/>
      <c r="X59" s="213"/>
      <c r="Y59" s="213"/>
      <c r="Z59" s="213"/>
      <c r="AA59" s="213"/>
      <c r="AB59" s="213"/>
      <c r="AC59" s="213"/>
    </row>
    <row r="60" spans="8:29" x14ac:dyDescent="0.3">
      <c r="P60" s="214"/>
      <c r="Q60" s="213"/>
      <c r="R60" s="213"/>
      <c r="S60" s="213"/>
      <c r="T60" s="213"/>
      <c r="U60" s="213"/>
      <c r="V60" s="213"/>
      <c r="W60" s="213"/>
      <c r="X60" s="213"/>
      <c r="Y60" s="213"/>
      <c r="Z60" s="213"/>
      <c r="AA60" s="213"/>
      <c r="AB60" s="213"/>
      <c r="AC60" s="213"/>
    </row>
    <row r="61" spans="8:29" x14ac:dyDescent="0.3">
      <c r="P61" s="214"/>
      <c r="Q61" s="894"/>
      <c r="R61" s="894"/>
      <c r="S61" s="894"/>
      <c r="T61" s="894"/>
      <c r="U61" s="894"/>
      <c r="V61" s="894"/>
      <c r="W61" s="894"/>
      <c r="X61" s="894"/>
      <c r="Y61" s="894"/>
      <c r="Z61" s="894"/>
      <c r="AA61" s="894"/>
      <c r="AB61" s="894"/>
      <c r="AC61" s="213"/>
    </row>
    <row r="62" spans="8:29" x14ac:dyDescent="0.3">
      <c r="P62" s="214"/>
      <c r="Q62" s="894"/>
      <c r="R62" s="894"/>
      <c r="S62" s="894"/>
      <c r="T62" s="894"/>
      <c r="U62" s="894"/>
      <c r="V62" s="894"/>
      <c r="W62" s="894"/>
      <c r="X62" s="894"/>
      <c r="Y62" s="894"/>
      <c r="Z62" s="894"/>
      <c r="AA62" s="894"/>
      <c r="AB62" s="894"/>
      <c r="AC62" s="213"/>
    </row>
    <row r="63" spans="8:29" x14ac:dyDescent="0.3">
      <c r="I63" s="213" t="s">
        <v>328</v>
      </c>
      <c r="J63" s="213" t="s">
        <v>329</v>
      </c>
      <c r="K63" s="213" t="s">
        <v>238</v>
      </c>
      <c r="L63" s="213" t="s">
        <v>327</v>
      </c>
      <c r="P63" s="727"/>
      <c r="Q63" s="894"/>
      <c r="R63" s="894"/>
      <c r="S63" s="894"/>
      <c r="T63" s="894"/>
      <c r="U63" s="894"/>
      <c r="V63" s="894"/>
      <c r="W63" s="894"/>
      <c r="X63" s="894"/>
      <c r="Y63" s="894"/>
      <c r="Z63" s="894"/>
      <c r="AA63" s="894"/>
      <c r="AB63" s="894"/>
      <c r="AC63" s="213"/>
    </row>
    <row r="64" spans="8:29" x14ac:dyDescent="0.3">
      <c r="H64" s="213" t="s">
        <v>872</v>
      </c>
      <c r="I64" s="213">
        <v>81.599999999999994</v>
      </c>
      <c r="J64" s="213">
        <v>188.9</v>
      </c>
      <c r="K64" s="213">
        <v>117.2</v>
      </c>
      <c r="L64" s="213" t="e">
        <f>#REF!+#REF!</f>
        <v>#REF!</v>
      </c>
      <c r="P64" s="213"/>
      <c r="Q64" s="213"/>
      <c r="R64" s="213"/>
      <c r="S64" s="213"/>
      <c r="T64" s="213"/>
      <c r="U64" s="213"/>
      <c r="V64" s="213"/>
      <c r="W64" s="213"/>
      <c r="X64" s="213"/>
      <c r="Y64" s="213"/>
      <c r="Z64" s="213"/>
      <c r="AA64" s="213"/>
      <c r="AB64" s="213"/>
      <c r="AC64" s="213"/>
    </row>
    <row r="65" spans="7:29" x14ac:dyDescent="0.3">
      <c r="H65" s="213" t="s">
        <v>520</v>
      </c>
      <c r="I65" s="645">
        <f>M53</f>
        <v>11.7</v>
      </c>
      <c r="J65" s="645">
        <f t="shared" ref="J65:K65" si="30">N53</f>
        <v>28.5</v>
      </c>
      <c r="K65" s="645">
        <f t="shared" si="30"/>
        <v>18.8</v>
      </c>
      <c r="L65" s="213" t="e">
        <f>#REF!</f>
        <v>#REF!</v>
      </c>
      <c r="P65" s="213"/>
      <c r="Q65" s="213"/>
      <c r="R65" s="213"/>
      <c r="S65" s="213"/>
      <c r="T65" s="213"/>
      <c r="U65" s="213"/>
      <c r="V65" s="213"/>
      <c r="W65" s="213"/>
      <c r="X65" s="213"/>
      <c r="Y65" s="213"/>
      <c r="Z65" s="213"/>
      <c r="AA65" s="213"/>
      <c r="AB65" s="213"/>
      <c r="AC65" s="213"/>
    </row>
    <row r="66" spans="7:29" x14ac:dyDescent="0.3">
      <c r="H66" s="213" t="s">
        <v>873</v>
      </c>
      <c r="I66" s="645">
        <f>I67-SUM(I64:I65)</f>
        <v>115.39999999999999</v>
      </c>
      <c r="J66" s="645">
        <f t="shared" ref="J66:K66" si="31">J67-SUM(J64:J65)</f>
        <v>252.29999999999998</v>
      </c>
      <c r="K66" s="645">
        <f t="shared" si="31"/>
        <v>159.5</v>
      </c>
      <c r="L66" s="645" t="e">
        <f>1.26*L64</f>
        <v>#REF!</v>
      </c>
      <c r="P66" s="213"/>
      <c r="Q66" s="213"/>
      <c r="R66" s="213"/>
      <c r="S66" s="213"/>
      <c r="T66" s="213"/>
      <c r="U66" s="213"/>
      <c r="V66" s="213"/>
      <c r="W66" s="213"/>
      <c r="X66" s="213"/>
      <c r="Y66" s="213"/>
      <c r="Z66" s="213"/>
      <c r="AA66" s="213"/>
      <c r="AB66" s="213"/>
      <c r="AC66" s="213"/>
    </row>
    <row r="67" spans="7:29" x14ac:dyDescent="0.3">
      <c r="H67" s="213" t="s">
        <v>359</v>
      </c>
      <c r="I67" s="645">
        <f>M55</f>
        <v>208.7</v>
      </c>
      <c r="J67" s="645">
        <f>N55</f>
        <v>469.7</v>
      </c>
      <c r="K67" s="645">
        <f>O55</f>
        <v>295.5</v>
      </c>
      <c r="L67" s="645" t="e">
        <f>SUM(L64:L66)</f>
        <v>#REF!</v>
      </c>
    </row>
    <row r="68" spans="7:29" x14ac:dyDescent="0.3">
      <c r="G68" s="213" t="s">
        <v>874</v>
      </c>
    </row>
    <row r="69" spans="7:29" x14ac:dyDescent="0.3">
      <c r="H69" s="213" t="s">
        <v>872</v>
      </c>
      <c r="I69" s="591">
        <f>I64/I$67</f>
        <v>0.39099185433636796</v>
      </c>
      <c r="J69" s="591">
        <f t="shared" ref="J69:L69" si="32">J64/J$67</f>
        <v>0.40217159889291038</v>
      </c>
      <c r="K69" s="591">
        <f t="shared" si="32"/>
        <v>0.3966159052453469</v>
      </c>
      <c r="L69" s="591" t="e">
        <f t="shared" si="32"/>
        <v>#REF!</v>
      </c>
    </row>
    <row r="70" spans="7:29" x14ac:dyDescent="0.3">
      <c r="H70" s="213" t="s">
        <v>520</v>
      </c>
      <c r="I70" s="591">
        <f t="shared" ref="I70:L71" si="33">I65/I$67</f>
        <v>5.6061332055582176E-2</v>
      </c>
      <c r="J70" s="591">
        <f t="shared" si="33"/>
        <v>6.0677027890142649E-2</v>
      </c>
      <c r="K70" s="591">
        <f t="shared" si="33"/>
        <v>6.3620981387478848E-2</v>
      </c>
      <c r="L70" s="591" t="e">
        <f t="shared" si="33"/>
        <v>#REF!</v>
      </c>
    </row>
    <row r="71" spans="7:29" x14ac:dyDescent="0.3">
      <c r="H71" s="213" t="s">
        <v>873</v>
      </c>
      <c r="I71" s="591">
        <f t="shared" si="33"/>
        <v>0.55294681360804987</v>
      </c>
      <c r="J71" s="591">
        <f t="shared" si="33"/>
        <v>0.53715137321694695</v>
      </c>
      <c r="K71" s="591">
        <f t="shared" si="33"/>
        <v>0.53976311336717431</v>
      </c>
      <c r="L71" s="591" t="e">
        <f t="shared" si="33"/>
        <v>#REF!</v>
      </c>
    </row>
    <row r="73" spans="7:29" x14ac:dyDescent="0.3">
      <c r="H73" s="213" t="s">
        <v>875</v>
      </c>
      <c r="I73" s="213">
        <f>I66/I64</f>
        <v>1.4142156862745099</v>
      </c>
      <c r="J73" s="213">
        <f t="shared" ref="J73:K73" si="34">J66/J64</f>
        <v>1.3356273160402328</v>
      </c>
      <c r="K73" s="21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6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5"/>
  <sheetViews>
    <sheetView zoomScale="110" zoomScaleNormal="110" workbookViewId="0">
      <selection activeCell="G22" sqref="G22"/>
    </sheetView>
  </sheetViews>
  <sheetFormatPr defaultColWidth="10.7773437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252" t="s">
        <v>152</v>
      </c>
      <c r="C1" s="1252"/>
      <c r="D1" s="1252"/>
      <c r="E1" s="1252"/>
      <c r="F1" s="1252"/>
      <c r="G1" s="1252"/>
      <c r="H1" s="1252"/>
      <c r="I1" s="1252"/>
      <c r="J1" s="1252"/>
      <c r="K1" s="1252"/>
      <c r="L1" s="1252"/>
      <c r="M1" s="1252"/>
      <c r="N1" s="1252"/>
      <c r="O1" s="1252"/>
      <c r="P1" s="1252"/>
      <c r="Q1" s="1252"/>
      <c r="R1" s="1252"/>
      <c r="S1" s="1252"/>
      <c r="T1" s="1252"/>
    </row>
    <row r="2" spans="1:22" x14ac:dyDescent="0.3">
      <c r="B2" s="1399" t="s">
        <v>915</v>
      </c>
      <c r="C2" s="1399"/>
      <c r="D2" s="1399"/>
      <c r="E2" s="1399"/>
      <c r="F2" s="1399"/>
      <c r="G2" s="1399"/>
      <c r="H2" s="1399"/>
      <c r="I2" s="1399"/>
      <c r="J2" s="1399"/>
      <c r="K2" s="1399"/>
      <c r="L2" s="1399"/>
      <c r="M2" s="1399"/>
      <c r="N2" s="1399"/>
      <c r="O2" s="1399"/>
      <c r="P2" s="1399"/>
      <c r="Q2" s="1399"/>
      <c r="R2" s="1399"/>
      <c r="S2" s="1399"/>
      <c r="T2" s="1399"/>
    </row>
    <row r="3" spans="1:22" x14ac:dyDescent="0.3">
      <c r="B3" s="1399"/>
      <c r="C3" s="1399"/>
      <c r="D3" s="1399"/>
      <c r="E3" s="1399"/>
      <c r="F3" s="1399"/>
      <c r="G3" s="1399"/>
      <c r="H3" s="1399"/>
      <c r="I3" s="1399"/>
      <c r="J3" s="1399"/>
      <c r="K3" s="1399"/>
      <c r="L3" s="1399"/>
      <c r="M3" s="1399"/>
      <c r="N3" s="1399"/>
      <c r="O3" s="1399"/>
      <c r="P3" s="1399"/>
      <c r="Q3" s="1399"/>
      <c r="R3" s="1399"/>
      <c r="S3" s="1399"/>
      <c r="T3" s="1399"/>
    </row>
    <row r="4" spans="1:22" x14ac:dyDescent="0.3">
      <c r="B4" s="1399"/>
      <c r="C4" s="1399"/>
      <c r="D4" s="1399"/>
      <c r="E4" s="1399"/>
      <c r="F4" s="1399"/>
      <c r="G4" s="1399"/>
      <c r="H4" s="1399"/>
      <c r="I4" s="1399"/>
      <c r="J4" s="1399"/>
      <c r="K4" s="1399"/>
      <c r="L4" s="1399"/>
      <c r="M4" s="1399"/>
      <c r="N4" s="1399"/>
      <c r="O4" s="1399"/>
      <c r="P4" s="1399"/>
      <c r="Q4" s="1399"/>
      <c r="R4" s="1399"/>
      <c r="S4" s="1399"/>
      <c r="T4" s="1399"/>
    </row>
    <row r="5" spans="1:22" x14ac:dyDescent="0.3">
      <c r="B5" s="1399"/>
      <c r="C5" s="1399"/>
      <c r="D5" s="1399"/>
      <c r="E5" s="1399"/>
      <c r="F5" s="1399"/>
      <c r="G5" s="1399"/>
      <c r="H5" s="1399"/>
      <c r="I5" s="1399"/>
      <c r="J5" s="1399"/>
      <c r="K5" s="1399"/>
      <c r="L5" s="1399"/>
      <c r="M5" s="1399"/>
      <c r="N5" s="1399"/>
      <c r="O5" s="1399"/>
      <c r="P5" s="1399"/>
      <c r="Q5" s="1399"/>
      <c r="R5" s="1399"/>
      <c r="S5" s="1399"/>
      <c r="T5" s="1399"/>
    </row>
    <row r="6" spans="1:22" x14ac:dyDescent="0.3">
      <c r="B6" s="1399"/>
      <c r="C6" s="1399"/>
      <c r="D6" s="1399"/>
      <c r="E6" s="1399"/>
      <c r="F6" s="1399"/>
      <c r="G6" s="1399"/>
      <c r="H6" s="1399"/>
      <c r="I6" s="1399"/>
      <c r="J6" s="1399"/>
      <c r="K6" s="1399"/>
      <c r="L6" s="1399"/>
      <c r="M6" s="1399"/>
      <c r="N6" s="1399"/>
      <c r="O6" s="1399"/>
      <c r="P6" s="1399"/>
      <c r="Q6" s="1399"/>
      <c r="R6" s="1399"/>
      <c r="S6" s="1399"/>
      <c r="T6" s="1399"/>
    </row>
    <row r="7" spans="1:22" x14ac:dyDescent="0.3">
      <c r="J7" s="181"/>
      <c r="K7" s="181"/>
      <c r="M7" s="181"/>
    </row>
    <row r="9" spans="1:22" ht="14.85" customHeight="1" x14ac:dyDescent="0.3">
      <c r="A9" s="94"/>
      <c r="B9" s="1400" t="s">
        <v>351</v>
      </c>
      <c r="C9" s="1401"/>
      <c r="D9" s="927">
        <v>2018</v>
      </c>
      <c r="E9" s="1406">
        <v>2019</v>
      </c>
      <c r="F9" s="1407"/>
      <c r="G9" s="1407"/>
      <c r="H9" s="1408"/>
      <c r="I9" s="1404">
        <v>2020</v>
      </c>
      <c r="J9" s="1405"/>
      <c r="K9" s="1405"/>
      <c r="L9" s="1405"/>
      <c r="M9" s="1409">
        <v>2021</v>
      </c>
      <c r="N9" s="1410"/>
      <c r="O9" s="1410"/>
      <c r="P9" s="1411"/>
      <c r="Q9" s="1404">
        <v>2022</v>
      </c>
      <c r="R9" s="1412"/>
      <c r="S9" s="1412"/>
      <c r="T9" s="1413"/>
    </row>
    <row r="10" spans="1:22" x14ac:dyDescent="0.3">
      <c r="B10" s="1402"/>
      <c r="C10" s="1403"/>
      <c r="D10" s="931" t="s">
        <v>327</v>
      </c>
      <c r="E10" s="932" t="s">
        <v>328</v>
      </c>
      <c r="F10" s="154" t="s">
        <v>329</v>
      </c>
      <c r="G10" s="154" t="s">
        <v>238</v>
      </c>
      <c r="H10" s="933" t="s">
        <v>327</v>
      </c>
      <c r="I10" s="932" t="s">
        <v>328</v>
      </c>
      <c r="J10" s="154" t="s">
        <v>329</v>
      </c>
      <c r="K10" s="154" t="s">
        <v>238</v>
      </c>
      <c r="L10" s="154" t="s">
        <v>327</v>
      </c>
      <c r="M10" s="163" t="s">
        <v>328</v>
      </c>
      <c r="N10" s="176" t="s">
        <v>329</v>
      </c>
      <c r="O10" s="176" t="s">
        <v>238</v>
      </c>
      <c r="P10" s="159" t="s">
        <v>327</v>
      </c>
      <c r="Q10" s="154" t="s">
        <v>328</v>
      </c>
      <c r="R10" s="154" t="s">
        <v>329</v>
      </c>
      <c r="S10" s="154" t="s">
        <v>238</v>
      </c>
      <c r="T10" s="933" t="s">
        <v>327</v>
      </c>
    </row>
    <row r="11" spans="1:22" ht="29.1" customHeight="1" x14ac:dyDescent="0.3">
      <c r="A11" s="925"/>
      <c r="B11" s="935" t="s">
        <v>139</v>
      </c>
      <c r="C11" s="930" t="s">
        <v>352</v>
      </c>
      <c r="D11" s="919"/>
      <c r="E11" s="920"/>
      <c r="F11" s="920"/>
      <c r="G11" s="920"/>
      <c r="H11" s="920"/>
      <c r="I11" s="920"/>
      <c r="J11" s="911">
        <f>'Haver Pivoted'!GU48</f>
        <v>160.9</v>
      </c>
      <c r="K11" s="911">
        <f>'Haver Pivoted'!GV48</f>
        <v>58.4</v>
      </c>
      <c r="L11" s="911">
        <f>'Haver Pivoted'!GW48</f>
        <v>34.5</v>
      </c>
      <c r="M11" s="911">
        <f>'Haver Pivoted'!GX48</f>
        <v>21.4</v>
      </c>
      <c r="N11" s="911">
        <f>'Haver Pivoted'!GY48</f>
        <v>13.3</v>
      </c>
      <c r="O11" s="911">
        <f>'Haver Pivoted'!GZ48</f>
        <v>18.7</v>
      </c>
      <c r="P11" s="911">
        <f>'Haver Pivoted'!HA48</f>
        <v>32.200000000000003</v>
      </c>
      <c r="Q11" s="911">
        <f>'Haver Pivoted'!HB48</f>
        <v>26.9</v>
      </c>
      <c r="R11" s="911">
        <f>'Haver Pivoted'!HC48</f>
        <v>20</v>
      </c>
      <c r="S11" s="917">
        <f>'Haver Pivoted'!HD48</f>
        <v>8.1</v>
      </c>
      <c r="T11" s="912">
        <f>'Haver Pivoted'!HE48</f>
        <v>4.9000000000000004</v>
      </c>
    </row>
    <row r="12" spans="1:22" ht="29.1" customHeight="1" x14ac:dyDescent="0.3">
      <c r="A12" s="925"/>
      <c r="B12" s="923" t="s">
        <v>353</v>
      </c>
      <c r="C12" s="918" t="s">
        <v>354</v>
      </c>
      <c r="D12" s="923"/>
      <c r="E12" s="918"/>
      <c r="F12" s="918"/>
      <c r="G12" s="918"/>
      <c r="H12" s="918"/>
      <c r="I12" s="918"/>
      <c r="J12" s="913">
        <f>'Haver Pivoted'!GU58</f>
        <v>64.400000000000006</v>
      </c>
      <c r="K12" s="913">
        <f>'Haver Pivoted'!GV58</f>
        <v>23.4</v>
      </c>
      <c r="L12" s="913">
        <f>'Haver Pivoted'!GW58</f>
        <v>13.8</v>
      </c>
      <c r="M12" s="913">
        <f>'Haver Pivoted'!GX58</f>
        <v>12</v>
      </c>
      <c r="N12" s="913">
        <f>'Haver Pivoted'!GY58</f>
        <v>7.5</v>
      </c>
      <c r="O12" s="913">
        <f>'Haver Pivoted'!GZ58</f>
        <v>10.5</v>
      </c>
      <c r="P12" s="913">
        <f>'Haver Pivoted'!HA58</f>
        <v>18</v>
      </c>
      <c r="Q12" s="913">
        <f>'Haver Pivoted'!HB58</f>
        <v>15</v>
      </c>
      <c r="R12" s="913">
        <f>'Haver Pivoted'!HC58</f>
        <v>11.2</v>
      </c>
      <c r="S12" s="916">
        <f>'Haver Pivoted'!HD58</f>
        <v>7.5</v>
      </c>
      <c r="T12" s="921">
        <f>'Haver Pivoted'!HE58</f>
        <v>6.2</v>
      </c>
    </row>
    <row r="13" spans="1:22" ht="47.1" customHeight="1" x14ac:dyDescent="0.3">
      <c r="A13" s="925"/>
      <c r="B13" s="923" t="s">
        <v>355</v>
      </c>
      <c r="C13" s="918" t="s">
        <v>356</v>
      </c>
      <c r="D13" s="923"/>
      <c r="E13" s="918"/>
      <c r="F13" s="918"/>
      <c r="G13" s="918"/>
      <c r="H13" s="918"/>
      <c r="I13" s="918"/>
      <c r="J13" s="913">
        <f>'Haver Pivoted'!GU54</f>
        <v>96.6</v>
      </c>
      <c r="K13" s="913">
        <f>'Haver Pivoted'!GV54</f>
        <v>35.1</v>
      </c>
      <c r="L13" s="913">
        <f>'Haver Pivoted'!GW54</f>
        <v>20.7</v>
      </c>
      <c r="M13" s="913">
        <f>'Haver Pivoted'!GX54</f>
        <v>15.4</v>
      </c>
      <c r="N13" s="913">
        <f>'Haver Pivoted'!GY54</f>
        <v>9.6</v>
      </c>
      <c r="O13" s="913">
        <f>'Haver Pivoted'!GZ54</f>
        <v>13.5</v>
      </c>
      <c r="P13" s="913">
        <f>'Haver Pivoted'!HA54</f>
        <v>23.2</v>
      </c>
      <c r="Q13" s="913">
        <f>'Haver Pivoted'!HB54</f>
        <v>19.3</v>
      </c>
      <c r="R13" s="913">
        <f>'Haver Pivoted'!HC54</f>
        <v>14.4</v>
      </c>
      <c r="S13" s="916">
        <f>'Haver Pivoted'!HD54</f>
        <v>5.9</v>
      </c>
      <c r="T13" s="921">
        <f>'Haver Pivoted'!HE54</f>
        <v>3.6</v>
      </c>
      <c r="U13" s="914" t="s">
        <v>357</v>
      </c>
      <c r="V13" s="928" t="s">
        <v>358</v>
      </c>
    </row>
    <row r="14" spans="1:22" x14ac:dyDescent="0.3">
      <c r="B14" s="54" t="s">
        <v>359</v>
      </c>
      <c r="C14" s="56"/>
      <c r="D14" s="54"/>
      <c r="E14" s="56"/>
      <c r="F14" s="56"/>
      <c r="G14" s="56"/>
      <c r="H14" s="56"/>
      <c r="I14" s="56"/>
      <c r="J14" s="913">
        <f t="shared" ref="J14:T14" si="0">J13+J12+J11</f>
        <v>321.89999999999998</v>
      </c>
      <c r="K14" s="913">
        <f t="shared" si="0"/>
        <v>116.9</v>
      </c>
      <c r="L14" s="913">
        <f t="shared" si="0"/>
        <v>69</v>
      </c>
      <c r="M14" s="913">
        <f t="shared" si="0"/>
        <v>48.8</v>
      </c>
      <c r="N14" s="913">
        <f t="shared" si="0"/>
        <v>30.400000000000002</v>
      </c>
      <c r="O14" s="913">
        <f t="shared" si="0"/>
        <v>42.7</v>
      </c>
      <c r="P14" s="913">
        <f t="shared" si="0"/>
        <v>73.400000000000006</v>
      </c>
      <c r="Q14" s="913">
        <f t="shared" si="0"/>
        <v>61.199999999999996</v>
      </c>
      <c r="R14" s="913">
        <f t="shared" si="0"/>
        <v>45.6</v>
      </c>
      <c r="S14" s="916">
        <f t="shared" si="0"/>
        <v>21.5</v>
      </c>
      <c r="T14" s="921">
        <f t="shared" si="0"/>
        <v>14.700000000000001</v>
      </c>
      <c r="U14" s="915">
        <v>236</v>
      </c>
      <c r="V14" s="934">
        <f>SUM(J14:S14)/4</f>
        <v>207.85</v>
      </c>
    </row>
    <row r="15" spans="1:22" x14ac:dyDescent="0.3">
      <c r="B15" s="924" t="s">
        <v>360</v>
      </c>
      <c r="C15" s="58"/>
      <c r="D15" s="924"/>
      <c r="E15" s="58"/>
      <c r="F15" s="58"/>
      <c r="G15" s="58"/>
      <c r="H15" s="58"/>
      <c r="I15" s="58"/>
      <c r="J15" s="94">
        <f t="shared" ref="J15:N17" si="1">J11/J$14</f>
        <v>0.49984467225846541</v>
      </c>
      <c r="K15" s="94">
        <f t="shared" si="1"/>
        <v>0.49957228400342168</v>
      </c>
      <c r="L15" s="94">
        <f t="shared" si="1"/>
        <v>0.5</v>
      </c>
      <c r="M15" s="94">
        <f t="shared" si="1"/>
        <v>0.43852459016393441</v>
      </c>
      <c r="N15" s="94">
        <f t="shared" si="1"/>
        <v>0.4375</v>
      </c>
      <c r="O15" s="94">
        <f>O11/O$14</f>
        <v>0.43793911007025754</v>
      </c>
      <c r="P15" s="94">
        <f t="shared" ref="P15:T15" si="2">P11/P$14</f>
        <v>0.43869209809264303</v>
      </c>
      <c r="Q15" s="94">
        <f t="shared" si="2"/>
        <v>0.43954248366013071</v>
      </c>
      <c r="R15" s="94">
        <f t="shared" si="2"/>
        <v>0.43859649122807015</v>
      </c>
      <c r="S15" s="154">
        <f t="shared" si="2"/>
        <v>0.37674418604651161</v>
      </c>
      <c r="T15" s="933">
        <f t="shared" si="2"/>
        <v>0.33333333333333331</v>
      </c>
    </row>
    <row r="16" spans="1:22" x14ac:dyDescent="0.3">
      <c r="B16" s="924" t="s">
        <v>361</v>
      </c>
      <c r="C16" s="58"/>
      <c r="D16" s="924"/>
      <c r="E16" s="58"/>
      <c r="F16" s="58"/>
      <c r="G16" s="58"/>
      <c r="H16" s="58"/>
      <c r="I16" s="58"/>
      <c r="J16" s="94">
        <f t="shared" si="1"/>
        <v>0.20006213109661389</v>
      </c>
      <c r="K16" s="94">
        <f t="shared" si="1"/>
        <v>0.20017108639863129</v>
      </c>
      <c r="L16" s="94">
        <f t="shared" si="1"/>
        <v>0.2</v>
      </c>
      <c r="M16" s="94">
        <f t="shared" si="1"/>
        <v>0.24590163934426232</v>
      </c>
      <c r="N16" s="94">
        <f t="shared" si="1"/>
        <v>0.24671052631578946</v>
      </c>
      <c r="O16" s="94">
        <f t="shared" ref="O16:T16" si="3">O12/O$14</f>
        <v>0.24590163934426229</v>
      </c>
      <c r="P16" s="94">
        <f t="shared" si="3"/>
        <v>0.24523160762942778</v>
      </c>
      <c r="Q16" s="94">
        <f t="shared" si="3"/>
        <v>0.24509803921568629</v>
      </c>
      <c r="R16" s="94">
        <f t="shared" si="3"/>
        <v>0.24561403508771928</v>
      </c>
      <c r="S16" s="154">
        <f t="shared" si="3"/>
        <v>0.34883720930232559</v>
      </c>
      <c r="T16" s="933">
        <f t="shared" si="3"/>
        <v>0.42176870748299317</v>
      </c>
      <c r="U16" s="92"/>
    </row>
    <row r="17" spans="2:21" x14ac:dyDescent="0.3">
      <c r="B17" s="926" t="s">
        <v>362</v>
      </c>
      <c r="C17" s="929"/>
      <c r="D17" s="926"/>
      <c r="E17" s="929"/>
      <c r="F17" s="929"/>
      <c r="G17" s="929"/>
      <c r="H17" s="929"/>
      <c r="I17" s="929"/>
      <c r="J17" s="624">
        <f t="shared" si="1"/>
        <v>0.30009319664492079</v>
      </c>
      <c r="K17" s="624">
        <f t="shared" si="1"/>
        <v>0.30025662959794697</v>
      </c>
      <c r="L17" s="624">
        <f t="shared" si="1"/>
        <v>0.3</v>
      </c>
      <c r="M17" s="624">
        <f t="shared" si="1"/>
        <v>0.3155737704918033</v>
      </c>
      <c r="N17" s="624">
        <f t="shared" si="1"/>
        <v>0.31578947368421051</v>
      </c>
      <c r="O17" s="624">
        <f t="shared" ref="O17:T17" si="4">O13/O$14</f>
        <v>0.31615925058548006</v>
      </c>
      <c r="P17" s="624">
        <f t="shared" si="4"/>
        <v>0.3160762942779291</v>
      </c>
      <c r="Q17" s="624">
        <f t="shared" si="4"/>
        <v>0.31535947712418305</v>
      </c>
      <c r="R17" s="624">
        <f t="shared" si="4"/>
        <v>0.31578947368421051</v>
      </c>
      <c r="S17" s="936">
        <f t="shared" si="4"/>
        <v>0.2744186046511628</v>
      </c>
      <c r="T17" s="922">
        <f t="shared" si="4"/>
        <v>0.24489795918367346</v>
      </c>
    </row>
    <row r="18" spans="2:21" x14ac:dyDescent="0.3">
      <c r="B18" s="58"/>
      <c r="C18" s="58"/>
      <c r="D18" s="58"/>
      <c r="E18" s="58"/>
      <c r="F18" s="58"/>
      <c r="G18" s="58"/>
      <c r="H18" s="58"/>
      <c r="I18" s="58"/>
      <c r="J18" s="94"/>
      <c r="K18" s="94"/>
      <c r="L18" s="94"/>
      <c r="M18" s="94"/>
      <c r="N18" s="94"/>
      <c r="O18" s="94"/>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C52"/>
  <sheetViews>
    <sheetView zoomScale="90" zoomScaleNormal="90" workbookViewId="0">
      <selection activeCell="E24" sqref="E24"/>
    </sheetView>
  </sheetViews>
  <sheetFormatPr defaultColWidth="10.77734375" defaultRowHeight="14.4" x14ac:dyDescent="0.3"/>
  <cols>
    <col min="1" max="1" width="6" customWidth="1"/>
    <col min="2" max="2" width="29.44140625" customWidth="1"/>
    <col min="3" max="7" width="10.44140625" customWidth="1"/>
  </cols>
  <sheetData>
    <row r="1" spans="1:29" x14ac:dyDescent="0.3">
      <c r="B1" s="1276" t="s">
        <v>56</v>
      </c>
      <c r="C1" s="1276"/>
      <c r="D1" s="1276"/>
      <c r="E1" s="1276"/>
      <c r="F1" s="1276"/>
      <c r="G1" s="1276"/>
      <c r="H1" s="1276"/>
      <c r="I1" s="1276"/>
      <c r="J1" s="1276"/>
      <c r="K1" s="1276"/>
      <c r="L1" s="1276"/>
      <c r="M1" s="1276"/>
      <c r="N1" s="1276"/>
      <c r="O1" s="1276"/>
      <c r="P1" s="1276"/>
      <c r="Q1" s="1276"/>
      <c r="R1" s="1276"/>
      <c r="S1" s="1276"/>
      <c r="T1" s="1276"/>
      <c r="U1" s="1276"/>
      <c r="V1" s="1276"/>
      <c r="W1" s="1276"/>
      <c r="X1" s="1276"/>
      <c r="Y1" s="1276"/>
      <c r="Z1" s="1276"/>
      <c r="AA1" s="1276"/>
      <c r="AB1" s="1276"/>
      <c r="AC1" s="1276"/>
    </row>
    <row r="2" spans="1:29" ht="14.85" customHeight="1" x14ac:dyDescent="0.3">
      <c r="B2" s="1277" t="s">
        <v>508</v>
      </c>
      <c r="C2" s="1277"/>
      <c r="D2" s="1277"/>
      <c r="E2" s="1277"/>
      <c r="F2" s="1277"/>
      <c r="G2" s="1277"/>
      <c r="H2" s="1277"/>
      <c r="I2" s="1277"/>
      <c r="J2" s="1277"/>
      <c r="K2" s="1277"/>
      <c r="L2" s="1277"/>
      <c r="M2" s="1277"/>
      <c r="N2" s="1277"/>
      <c r="O2" s="1277"/>
      <c r="P2" s="1277"/>
      <c r="Q2" s="1277"/>
      <c r="R2" s="1277"/>
      <c r="S2" s="1277"/>
      <c r="T2" s="1277"/>
      <c r="U2" s="1277"/>
      <c r="V2" s="1277"/>
      <c r="W2" s="1277"/>
      <c r="X2" s="1277"/>
      <c r="Y2" s="1277"/>
      <c r="Z2" s="1277"/>
      <c r="AA2" s="1277"/>
      <c r="AB2" s="1277"/>
      <c r="AC2" s="1277"/>
    </row>
    <row r="3" spans="1:29" x14ac:dyDescent="0.3">
      <c r="B3" s="1277"/>
      <c r="C3" s="1277"/>
      <c r="D3" s="1277"/>
      <c r="E3" s="1277"/>
      <c r="F3" s="1277"/>
      <c r="G3" s="1277"/>
      <c r="H3" s="1277"/>
      <c r="I3" s="1277"/>
      <c r="J3" s="1277"/>
      <c r="K3" s="1277"/>
      <c r="L3" s="1277"/>
      <c r="M3" s="1277"/>
      <c r="N3" s="1277"/>
      <c r="O3" s="1277"/>
      <c r="P3" s="1277"/>
      <c r="Q3" s="1277"/>
      <c r="R3" s="1277"/>
      <c r="S3" s="1277"/>
      <c r="T3" s="1277"/>
      <c r="U3" s="1277"/>
      <c r="V3" s="1277"/>
      <c r="W3" s="1277"/>
      <c r="X3" s="1277"/>
      <c r="Y3" s="1277"/>
      <c r="Z3" s="1277"/>
      <c r="AA3" s="1277"/>
      <c r="AB3" s="1277"/>
      <c r="AC3" s="1277"/>
    </row>
    <row r="4" spans="1:29" x14ac:dyDescent="0.3">
      <c r="B4" s="1277"/>
      <c r="C4" s="1277"/>
      <c r="D4" s="1277"/>
      <c r="E4" s="1277"/>
      <c r="F4" s="1277"/>
      <c r="G4" s="1277"/>
      <c r="H4" s="1277"/>
      <c r="I4" s="1277"/>
      <c r="J4" s="1277"/>
      <c r="K4" s="1277"/>
      <c r="L4" s="1277"/>
      <c r="M4" s="1277"/>
      <c r="N4" s="1277"/>
      <c r="O4" s="1277"/>
      <c r="P4" s="1277"/>
      <c r="Q4" s="1277"/>
      <c r="R4" s="1277"/>
      <c r="S4" s="1277"/>
      <c r="T4" s="1277"/>
      <c r="U4" s="1277"/>
      <c r="V4" s="1277"/>
      <c r="W4" s="1277"/>
      <c r="X4" s="1277"/>
      <c r="Y4" s="1277"/>
      <c r="Z4" s="1277"/>
      <c r="AA4" s="1277"/>
      <c r="AB4" s="1277"/>
      <c r="AC4" s="1277"/>
    </row>
    <row r="5" spans="1:29" x14ac:dyDescent="0.3">
      <c r="B5" s="346"/>
      <c r="C5" s="213"/>
      <c r="D5" s="213"/>
      <c r="E5" s="213"/>
      <c r="F5" s="213"/>
      <c r="G5" s="213"/>
      <c r="H5" s="213"/>
      <c r="I5" s="213"/>
      <c r="J5" s="213"/>
      <c r="K5" s="213"/>
      <c r="L5" s="213"/>
      <c r="M5" s="213"/>
      <c r="N5" s="213"/>
      <c r="O5" s="213"/>
      <c r="P5" s="213"/>
      <c r="Q5" s="213"/>
      <c r="R5" s="213"/>
      <c r="S5" s="213"/>
      <c r="T5" s="213"/>
      <c r="U5" s="213"/>
      <c r="V5" s="213"/>
      <c r="W5" s="213"/>
      <c r="X5" s="213"/>
      <c r="Y5" s="213"/>
    </row>
    <row r="6" spans="1:29" x14ac:dyDescent="0.3">
      <c r="B6" s="1280" t="s">
        <v>453</v>
      </c>
      <c r="C6" s="1281"/>
      <c r="D6" s="1290" t="s">
        <v>325</v>
      </c>
      <c r="E6" s="1291"/>
      <c r="F6" s="1291"/>
      <c r="G6" s="1291"/>
      <c r="H6" s="1291"/>
      <c r="I6" s="1291"/>
      <c r="J6" s="1291"/>
      <c r="K6" s="1291"/>
      <c r="L6" s="1291"/>
      <c r="M6" s="1291"/>
      <c r="N6" s="1291"/>
      <c r="O6" s="1291"/>
      <c r="P6" s="1291"/>
      <c r="Q6" s="1316"/>
      <c r="R6" s="1316"/>
      <c r="S6" s="1316"/>
      <c r="T6" s="1281"/>
      <c r="U6" s="1294" t="s">
        <v>326</v>
      </c>
      <c r="V6" s="1294"/>
      <c r="W6" s="1294"/>
      <c r="X6" s="1294"/>
      <c r="Y6" s="1294"/>
      <c r="Z6" s="1294"/>
      <c r="AA6" s="1294"/>
      <c r="AB6" s="1294"/>
      <c r="AC6" s="1295"/>
    </row>
    <row r="7" spans="1:29" x14ac:dyDescent="0.3">
      <c r="B7" s="1282"/>
      <c r="C7" s="1283"/>
      <c r="D7" s="157">
        <v>2018</v>
      </c>
      <c r="E7" s="1273">
        <v>2019</v>
      </c>
      <c r="F7" s="1278"/>
      <c r="G7" s="1278"/>
      <c r="H7" s="1279"/>
      <c r="I7" s="1273">
        <v>2020</v>
      </c>
      <c r="J7" s="1278"/>
      <c r="K7" s="1278"/>
      <c r="L7" s="1278"/>
      <c r="M7" s="1273">
        <v>2021</v>
      </c>
      <c r="N7" s="1278"/>
      <c r="O7" s="1278"/>
      <c r="P7" s="1278"/>
      <c r="Q7" s="1273">
        <v>2022</v>
      </c>
      <c r="R7" s="1274"/>
      <c r="S7" s="1274"/>
      <c r="T7" s="1279"/>
      <c r="U7" s="1284">
        <v>2023</v>
      </c>
      <c r="V7" s="1285"/>
      <c r="W7" s="1285"/>
      <c r="X7" s="1285"/>
      <c r="Y7" s="1287">
        <v>2024</v>
      </c>
      <c r="Z7" s="1285"/>
      <c r="AA7" s="1285"/>
      <c r="AB7" s="1286"/>
      <c r="AC7" s="233">
        <v>2025</v>
      </c>
    </row>
    <row r="8" spans="1:29" x14ac:dyDescent="0.3">
      <c r="B8" s="1296"/>
      <c r="C8" s="1297"/>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0" t="s">
        <v>328</v>
      </c>
      <c r="V8" s="280" t="s">
        <v>329</v>
      </c>
      <c r="W8" s="280" t="s">
        <v>238</v>
      </c>
      <c r="X8" s="280" t="s">
        <v>327</v>
      </c>
      <c r="Y8" s="348" t="s">
        <v>328</v>
      </c>
      <c r="Z8" s="228" t="s">
        <v>329</v>
      </c>
      <c r="AA8" s="280" t="s">
        <v>238</v>
      </c>
      <c r="AB8" s="278" t="s">
        <v>327</v>
      </c>
      <c r="AC8" s="373" t="s">
        <v>328</v>
      </c>
    </row>
    <row r="9" spans="1:29" x14ac:dyDescent="0.3">
      <c r="B9" s="566" t="s">
        <v>56</v>
      </c>
      <c r="C9" s="460" t="s">
        <v>509</v>
      </c>
      <c r="D9" s="566"/>
      <c r="E9" s="938"/>
      <c r="F9" s="938"/>
      <c r="G9" s="938"/>
      <c r="H9" s="938"/>
      <c r="I9" s="938"/>
      <c r="J9" s="225">
        <f>'Haver Pivoted'!GU45</f>
        <v>1078.0999999999999</v>
      </c>
      <c r="K9" s="225">
        <f>'Haver Pivoted'!GV45</f>
        <v>15.6</v>
      </c>
      <c r="L9" s="225">
        <f>'Haver Pivoted'!GW45</f>
        <v>5</v>
      </c>
      <c r="M9" s="225">
        <f>'Haver Pivoted'!GX45</f>
        <v>1933.7</v>
      </c>
      <c r="N9" s="225">
        <f>'Haver Pivoted'!GY45</f>
        <v>290.10000000000002</v>
      </c>
      <c r="O9" s="225">
        <f>'Haver Pivoted'!GZ45</f>
        <v>38.9</v>
      </c>
      <c r="P9" s="225">
        <f>'Haver Pivoted'!HA45</f>
        <v>14.2</v>
      </c>
      <c r="Q9" s="225">
        <f>'Haver Pivoted'!HB45</f>
        <v>0</v>
      </c>
      <c r="R9" s="225">
        <f>'Haver Pivoted'!HC45</f>
        <v>0</v>
      </c>
      <c r="S9" s="158">
        <f>'Haver Pivoted'!HD45</f>
        <v>0</v>
      </c>
      <c r="T9" s="194">
        <f>'Haver Pivoted'!HE45</f>
        <v>0</v>
      </c>
      <c r="U9" s="196"/>
      <c r="V9" s="196"/>
      <c r="W9" s="196"/>
      <c r="X9" s="196"/>
      <c r="Y9" s="196"/>
      <c r="Z9" s="196"/>
      <c r="AA9" s="196"/>
      <c r="AB9" s="196"/>
      <c r="AC9" s="197"/>
    </row>
    <row r="10" spans="1:29" x14ac:dyDescent="0.3">
      <c r="B10" s="567" t="s">
        <v>214</v>
      </c>
      <c r="C10" s="232"/>
      <c r="D10" s="567"/>
      <c r="E10" s="232"/>
      <c r="F10" s="232"/>
      <c r="G10" s="232"/>
      <c r="H10" s="232"/>
      <c r="I10" s="232"/>
      <c r="J10" s="625"/>
      <c r="K10" s="625"/>
      <c r="L10" s="625"/>
      <c r="M10" s="625">
        <f t="shared" ref="M10:T10" si="0">M9-M11</f>
        <v>1348.1</v>
      </c>
      <c r="N10" s="625">
        <f t="shared" si="0"/>
        <v>290.10000000000002</v>
      </c>
      <c r="O10" s="625">
        <f t="shared" si="0"/>
        <v>38.9</v>
      </c>
      <c r="P10" s="625">
        <f t="shared" si="0"/>
        <v>14.2</v>
      </c>
      <c r="Q10" s="625">
        <f t="shared" si="0"/>
        <v>0</v>
      </c>
      <c r="R10" s="625">
        <f t="shared" si="0"/>
        <v>0</v>
      </c>
      <c r="S10" s="937">
        <f t="shared" si="0"/>
        <v>0</v>
      </c>
      <c r="T10" s="939">
        <f t="shared" si="0"/>
        <v>0</v>
      </c>
      <c r="U10" s="648"/>
      <c r="V10" s="648"/>
      <c r="W10" s="648"/>
      <c r="X10" s="648"/>
      <c r="Y10" s="648"/>
      <c r="Z10" s="648"/>
      <c r="AA10" s="648"/>
      <c r="AB10" s="648"/>
      <c r="AC10" s="649"/>
    </row>
    <row r="11" spans="1:29" x14ac:dyDescent="0.3">
      <c r="B11" s="512" t="s">
        <v>510</v>
      </c>
      <c r="C11" s="513"/>
      <c r="D11" s="512"/>
      <c r="E11" s="513"/>
      <c r="F11" s="513"/>
      <c r="G11" s="513"/>
      <c r="H11" s="513"/>
      <c r="I11" s="513"/>
      <c r="J11" s="626">
        <f t="shared" ref="J11:L11" si="1">J9-J10</f>
        <v>1078.0999999999999</v>
      </c>
      <c r="K11" s="626">
        <f t="shared" si="1"/>
        <v>15.6</v>
      </c>
      <c r="L11" s="626">
        <f t="shared" si="1"/>
        <v>5</v>
      </c>
      <c r="M11" s="626">
        <f>SUM(C17:D17)/12*4</f>
        <v>585.6</v>
      </c>
      <c r="N11" s="626">
        <v>0</v>
      </c>
      <c r="O11" s="626">
        <v>0</v>
      </c>
      <c r="P11" s="626">
        <v>0</v>
      </c>
      <c r="Q11" s="626">
        <v>0</v>
      </c>
      <c r="R11" s="626">
        <v>0</v>
      </c>
      <c r="S11" s="626">
        <v>0</v>
      </c>
      <c r="T11" s="940"/>
      <c r="U11" s="942"/>
      <c r="V11" s="942"/>
      <c r="W11" s="942"/>
      <c r="X11" s="942"/>
      <c r="Y11" s="942"/>
      <c r="Z11" s="942"/>
      <c r="AA11" s="942"/>
      <c r="AB11" s="942"/>
      <c r="AC11" s="943"/>
    </row>
    <row r="12" spans="1:29" x14ac:dyDescent="0.3">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1:29" x14ac:dyDescent="0.3">
      <c r="A13" s="74"/>
      <c r="B13" s="74"/>
      <c r="C13" s="74"/>
      <c r="D13" s="74"/>
      <c r="E13" s="74"/>
      <c r="F13" s="74"/>
      <c r="G13" s="74"/>
      <c r="H13" s="74"/>
      <c r="I13" s="74"/>
      <c r="J13" s="74"/>
      <c r="K13" s="74"/>
      <c r="L13" s="98"/>
      <c r="M13" s="98"/>
      <c r="N13" s="98"/>
    </row>
    <row r="14" spans="1:29" x14ac:dyDescent="0.3">
      <c r="A14" s="74"/>
      <c r="N14" s="35"/>
    </row>
    <row r="15" spans="1:29" x14ac:dyDescent="0.3">
      <c r="A15" s="94"/>
      <c r="B15" s="1414" t="s">
        <v>511</v>
      </c>
      <c r="C15" s="1404">
        <v>2021</v>
      </c>
      <c r="D15" s="1405"/>
      <c r="E15" s="1405"/>
      <c r="F15" s="1405"/>
      <c r="G15" s="47"/>
      <c r="K15" s="1416"/>
      <c r="L15" s="1416"/>
      <c r="M15" s="35"/>
      <c r="N15" s="35"/>
    </row>
    <row r="16" spans="1:29" x14ac:dyDescent="0.3">
      <c r="B16" s="1415"/>
      <c r="C16" s="945" t="s">
        <v>234</v>
      </c>
      <c r="D16" s="936" t="s">
        <v>235</v>
      </c>
      <c r="E16" s="936" t="s">
        <v>236</v>
      </c>
      <c r="F16" s="936" t="s">
        <v>237</v>
      </c>
      <c r="G16" s="941"/>
      <c r="H16" s="94"/>
      <c r="I16" s="94"/>
      <c r="J16" s="94"/>
      <c r="K16" s="94"/>
      <c r="L16" s="94"/>
      <c r="M16" s="94"/>
      <c r="N16" s="94"/>
    </row>
    <row r="17" spans="2:29" ht="16.350000000000001" customHeight="1" x14ac:dyDescent="0.3">
      <c r="B17" s="944" t="s">
        <v>512</v>
      </c>
      <c r="C17" s="946">
        <v>1660.9</v>
      </c>
      <c r="D17" s="946">
        <v>95.9</v>
      </c>
      <c r="E17" s="946">
        <v>4044.2</v>
      </c>
      <c r="F17" s="947">
        <v>688</v>
      </c>
      <c r="G17" s="115"/>
      <c r="H17" s="115"/>
      <c r="I17" s="115"/>
      <c r="J17" s="115"/>
      <c r="K17" s="115"/>
      <c r="L17" s="115"/>
      <c r="M17" s="213"/>
      <c r="N17" s="213"/>
    </row>
    <row r="18" spans="2:29" x14ac:dyDescent="0.3">
      <c r="B18" s="895" t="s">
        <v>513</v>
      </c>
      <c r="C18" s="213"/>
      <c r="D18" s="213"/>
      <c r="E18" s="213"/>
      <c r="F18" s="213"/>
      <c r="G18" s="213"/>
      <c r="H18" s="213"/>
      <c r="I18" s="213"/>
      <c r="J18" s="213"/>
      <c r="K18" s="213"/>
      <c r="L18" s="213"/>
      <c r="M18" s="213"/>
      <c r="N18" s="213"/>
    </row>
    <row r="19" spans="2:29" x14ac:dyDescent="0.3">
      <c r="B19" s="213"/>
      <c r="C19" s="213"/>
      <c r="D19" s="213"/>
      <c r="E19" s="213"/>
      <c r="F19" s="213"/>
      <c r="G19" s="213"/>
      <c r="H19" s="213"/>
      <c r="I19" s="213"/>
      <c r="J19" s="213"/>
      <c r="K19" s="213"/>
      <c r="L19" s="213"/>
      <c r="M19" s="213"/>
      <c r="N19" s="213"/>
    </row>
    <row r="20" spans="2:29" x14ac:dyDescent="0.3">
      <c r="B20" s="895"/>
      <c r="C20" s="213"/>
      <c r="D20" s="213"/>
      <c r="E20" s="213"/>
      <c r="F20" s="213"/>
      <c r="G20" s="213"/>
      <c r="H20" s="213"/>
      <c r="I20" s="213"/>
      <c r="J20" s="213"/>
      <c r="K20" s="213"/>
      <c r="L20" s="213"/>
      <c r="M20" s="213"/>
      <c r="N20" s="213"/>
    </row>
    <row r="21" spans="2:29" x14ac:dyDescent="0.3">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35"/>
      <c r="AA21" s="35"/>
      <c r="AB21" s="35"/>
      <c r="AC21" s="35"/>
    </row>
    <row r="22" spans="2:29" x14ac:dyDescent="0.3">
      <c r="B22" s="74"/>
      <c r="C22" s="74"/>
      <c r="D22" s="74"/>
      <c r="E22" s="74"/>
      <c r="F22" s="74"/>
      <c r="G22" s="74"/>
      <c r="H22" s="74"/>
      <c r="I22" s="74"/>
      <c r="J22" s="74"/>
      <c r="K22" s="74"/>
      <c r="L22" s="98"/>
      <c r="M22" s="98"/>
      <c r="N22" s="98"/>
    </row>
    <row r="23" spans="2:29" x14ac:dyDescent="0.3">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row>
    <row r="24" spans="2:29" x14ac:dyDescent="0.3">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row>
    <row r="25" spans="2:29" x14ac:dyDescent="0.3">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row>
    <row r="26" spans="2:29" x14ac:dyDescent="0.3">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row>
    <row r="27" spans="2:29" x14ac:dyDescent="0.3">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row>
    <row r="28" spans="2:29" x14ac:dyDescent="0.3">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row>
    <row r="29" spans="2:29" x14ac:dyDescent="0.3">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row>
    <row r="30" spans="2:29" x14ac:dyDescent="0.3">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row>
    <row r="31" spans="2:29" x14ac:dyDescent="0.3">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row>
    <row r="32" spans="2:29" x14ac:dyDescent="0.3">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row>
    <row r="33" spans="2:25" x14ac:dyDescent="0.3">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row>
    <row r="34" spans="2:25" x14ac:dyDescent="0.3">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row>
    <row r="35" spans="2:25" x14ac:dyDescent="0.3">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row>
    <row r="36" spans="2:25" x14ac:dyDescent="0.3">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row>
    <row r="37" spans="2:25" x14ac:dyDescent="0.3">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row>
    <row r="38" spans="2:25" x14ac:dyDescent="0.3">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row>
    <row r="39" spans="2:25" x14ac:dyDescent="0.3">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row r="40" spans="2:25" x14ac:dyDescent="0.3">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row>
    <row r="41" spans="2:25" x14ac:dyDescent="0.3">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row>
    <row r="42" spans="2:25" x14ac:dyDescent="0.3">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row>
    <row r="43" spans="2:25" x14ac:dyDescent="0.3">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row>
    <row r="44" spans="2:25" x14ac:dyDescent="0.3">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row>
    <row r="45" spans="2:25" x14ac:dyDescent="0.3">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row>
    <row r="46" spans="2:25" x14ac:dyDescent="0.3">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row>
    <row r="47" spans="2:25" x14ac:dyDescent="0.3">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row>
    <row r="48" spans="2:25" x14ac:dyDescent="0.3">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row>
    <row r="49" spans="2:25" x14ac:dyDescent="0.3">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row>
    <row r="50" spans="2:25" x14ac:dyDescent="0.3">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row>
    <row r="51" spans="2:25" x14ac:dyDescent="0.3">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row>
    <row r="52" spans="2:25" x14ac:dyDescent="0.3">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8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0.77734375" defaultRowHeight="14.4" x14ac:dyDescent="0.3"/>
  <cols>
    <col min="2" max="2" width="26.44140625" customWidth="1"/>
    <col min="3" max="3" width="13.21875" customWidth="1"/>
    <col min="20" max="29" width="11.5546875" customWidth="1"/>
    <col min="30" max="32" width="12.21875" customWidth="1"/>
  </cols>
  <sheetData>
    <row r="1" spans="2:32" x14ac:dyDescent="0.3">
      <c r="B1" s="1276" t="s">
        <v>1792</v>
      </c>
      <c r="C1" s="1276"/>
      <c r="D1" s="1276"/>
      <c r="E1" s="1276"/>
      <c r="F1" s="1276"/>
      <c r="G1" s="1276"/>
      <c r="H1" s="1276"/>
      <c r="I1" s="1276"/>
      <c r="J1" s="1276"/>
      <c r="K1" s="1276"/>
      <c r="L1" s="1276"/>
      <c r="M1" s="1276"/>
      <c r="N1" s="1276"/>
      <c r="O1" s="1276"/>
      <c r="P1" s="1276"/>
      <c r="Q1" s="1276"/>
      <c r="R1" s="1276"/>
      <c r="S1" s="1276"/>
      <c r="T1" s="1276"/>
      <c r="U1" s="1276"/>
      <c r="V1" s="1276"/>
      <c r="W1" s="1276"/>
      <c r="X1" s="1276"/>
      <c r="Y1" s="1276"/>
      <c r="Z1" s="1276"/>
      <c r="AA1" s="1276"/>
      <c r="AB1" s="1276"/>
      <c r="AC1" s="1276"/>
    </row>
    <row r="2" spans="2:32" x14ac:dyDescent="0.3">
      <c r="B2" s="1314" t="s">
        <v>1793</v>
      </c>
      <c r="C2" s="1314"/>
      <c r="D2" s="1314"/>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row>
    <row r="3" spans="2:32" x14ac:dyDescent="0.3">
      <c r="B3" s="1314"/>
      <c r="C3" s="1314"/>
      <c r="D3" s="1314"/>
      <c r="E3" s="1314"/>
      <c r="F3" s="1314"/>
      <c r="G3" s="1314"/>
      <c r="H3" s="1314"/>
      <c r="I3" s="1314"/>
      <c r="J3" s="1314"/>
      <c r="K3" s="1314"/>
      <c r="L3" s="1314"/>
      <c r="M3" s="1314"/>
      <c r="N3" s="1314"/>
      <c r="O3" s="1314"/>
      <c r="P3" s="1314"/>
      <c r="Q3" s="1314"/>
      <c r="R3" s="1314"/>
      <c r="S3" s="1314"/>
      <c r="T3" s="1314"/>
      <c r="U3" s="1314"/>
      <c r="V3" s="1314"/>
      <c r="W3" s="1314"/>
      <c r="X3" s="1314"/>
      <c r="Y3" s="1314"/>
      <c r="Z3" s="1314"/>
      <c r="AA3" s="1314"/>
      <c r="AB3" s="1314"/>
      <c r="AC3" s="1314"/>
    </row>
    <row r="4" spans="2:32" x14ac:dyDescent="0.3">
      <c r="B4" s="1314"/>
      <c r="C4" s="1314"/>
      <c r="D4" s="1314"/>
      <c r="E4" s="1314"/>
      <c r="F4" s="1314"/>
      <c r="G4" s="1314"/>
      <c r="H4" s="1314"/>
      <c r="I4" s="1314"/>
      <c r="J4" s="1314"/>
      <c r="K4" s="1314"/>
      <c r="L4" s="1314"/>
      <c r="M4" s="1314"/>
      <c r="N4" s="1314"/>
      <c r="O4" s="1314"/>
      <c r="P4" s="1314"/>
      <c r="Q4" s="1314"/>
      <c r="R4" s="1314"/>
      <c r="S4" s="1314"/>
      <c r="T4" s="1314"/>
      <c r="U4" s="1314"/>
      <c r="V4" s="1314"/>
      <c r="W4" s="1314"/>
      <c r="X4" s="1314"/>
      <c r="Y4" s="1314"/>
      <c r="Z4" s="1314"/>
      <c r="AA4" s="1314"/>
      <c r="AB4" s="1314"/>
      <c r="AC4" s="1314"/>
    </row>
    <row r="5" spans="2:32" x14ac:dyDescent="0.3">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3">
      <c r="B6" s="35"/>
      <c r="C6" s="967"/>
      <c r="D6" s="1008"/>
      <c r="E6" s="1008"/>
      <c r="F6" s="1008"/>
      <c r="G6" s="1008"/>
      <c r="H6" s="1008"/>
      <c r="I6" s="1008"/>
      <c r="J6" s="1008"/>
      <c r="K6" s="1008"/>
      <c r="L6" s="1008"/>
      <c r="M6" s="1008"/>
      <c r="N6" s="1008"/>
      <c r="O6" s="1008"/>
      <c r="P6" s="1008"/>
      <c r="Q6" s="1008"/>
      <c r="R6" s="1008"/>
      <c r="S6" s="1008"/>
      <c r="T6" s="1008"/>
      <c r="U6" s="1008"/>
      <c r="V6" s="1008"/>
      <c r="W6" s="1008"/>
      <c r="X6" s="1008"/>
      <c r="Y6" s="1008"/>
      <c r="Z6" s="1008"/>
      <c r="AA6" s="1008"/>
      <c r="AB6" s="1008"/>
      <c r="AC6" s="1008"/>
      <c r="AD6" s="1008"/>
      <c r="AE6" s="1008"/>
      <c r="AF6" s="1008"/>
    </row>
    <row r="7" spans="2:32" ht="14.55" customHeight="1" x14ac:dyDescent="0.3">
      <c r="B7" s="1417" t="s">
        <v>1822</v>
      </c>
      <c r="C7" s="1417"/>
      <c r="D7" s="1417"/>
      <c r="E7" s="1417"/>
      <c r="F7" s="1417"/>
      <c r="G7" s="210"/>
      <c r="H7" s="210"/>
      <c r="I7" s="210"/>
      <c r="J7" s="210"/>
      <c r="K7" s="210"/>
      <c r="L7" s="210"/>
      <c r="M7" s="210"/>
      <c r="N7" s="210"/>
      <c r="O7" s="210"/>
      <c r="P7" s="210"/>
      <c r="Q7" s="210"/>
      <c r="R7" s="210"/>
      <c r="S7" s="210"/>
      <c r="T7" s="210"/>
      <c r="U7" s="210"/>
      <c r="V7" s="210"/>
      <c r="W7" s="210"/>
      <c r="X7" s="210"/>
      <c r="Y7" s="210"/>
      <c r="Z7" s="210"/>
      <c r="AA7" s="210"/>
      <c r="AB7" s="210"/>
      <c r="AC7" s="210"/>
    </row>
    <row r="8" spans="2:32" x14ac:dyDescent="0.3">
      <c r="B8" s="1280" t="s">
        <v>1811</v>
      </c>
      <c r="C8" s="1281"/>
      <c r="D8" s="1334" t="s">
        <v>325</v>
      </c>
      <c r="E8" s="1335"/>
      <c r="F8" s="1335"/>
      <c r="G8" s="1335"/>
      <c r="H8" s="1335"/>
      <c r="I8" s="1335"/>
      <c r="J8" s="1335"/>
      <c r="K8" s="1335"/>
      <c r="L8" s="1335"/>
      <c r="M8" s="1335"/>
      <c r="N8" s="1335"/>
      <c r="O8" s="1335"/>
      <c r="P8" s="1335"/>
      <c r="Q8" s="1316"/>
      <c r="R8" s="1316"/>
      <c r="S8" s="195"/>
      <c r="T8" s="1336" t="s">
        <v>1888</v>
      </c>
      <c r="U8" s="1336"/>
      <c r="V8" s="1336"/>
      <c r="W8" s="1336"/>
      <c r="X8" s="1336"/>
      <c r="Y8" s="1336"/>
      <c r="Z8" s="1336"/>
      <c r="AA8" s="1336"/>
      <c r="AB8" s="1336"/>
      <c r="AC8" s="1336"/>
      <c r="AD8" s="1336"/>
      <c r="AE8" s="1336"/>
      <c r="AF8" s="1337"/>
    </row>
    <row r="9" spans="2:32" x14ac:dyDescent="0.3">
      <c r="B9" s="1282"/>
      <c r="C9" s="1283"/>
      <c r="D9" s="163">
        <v>2018</v>
      </c>
      <c r="E9" s="1298">
        <v>2019</v>
      </c>
      <c r="F9" s="1299"/>
      <c r="G9" s="1299"/>
      <c r="H9" s="1306"/>
      <c r="I9" s="1298">
        <v>2020</v>
      </c>
      <c r="J9" s="1299"/>
      <c r="K9" s="1299"/>
      <c r="L9" s="1299"/>
      <c r="M9" s="1298">
        <v>2021</v>
      </c>
      <c r="N9" s="1299"/>
      <c r="O9" s="1299"/>
      <c r="P9" s="1299"/>
      <c r="Q9" s="1288">
        <v>2022</v>
      </c>
      <c r="R9" s="1289"/>
      <c r="S9" s="221"/>
      <c r="T9" s="221"/>
      <c r="U9" s="1287">
        <v>2023</v>
      </c>
      <c r="V9" s="1284"/>
      <c r="W9" s="1284"/>
      <c r="X9" s="1284"/>
      <c r="Y9" s="1287">
        <v>2024</v>
      </c>
      <c r="Z9" s="1284"/>
      <c r="AA9" s="1284"/>
      <c r="AB9" s="1286"/>
      <c r="AC9" s="1287">
        <v>2025</v>
      </c>
      <c r="AD9" s="1284"/>
      <c r="AE9" s="1284"/>
      <c r="AF9" s="1286"/>
    </row>
    <row r="10" spans="2:32" x14ac:dyDescent="0.3">
      <c r="B10" s="1296"/>
      <c r="C10" s="1297"/>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59" t="s">
        <v>238</v>
      </c>
      <c r="T10" s="159" t="s">
        <v>327</v>
      </c>
      <c r="U10" s="348" t="s">
        <v>328</v>
      </c>
      <c r="V10" s="280" t="s">
        <v>329</v>
      </c>
      <c r="W10" s="280" t="s">
        <v>238</v>
      </c>
      <c r="X10" s="280" t="s">
        <v>327</v>
      </c>
      <c r="Y10" s="348" t="s">
        <v>328</v>
      </c>
      <c r="Z10" s="228" t="s">
        <v>329</v>
      </c>
      <c r="AA10" s="280" t="s">
        <v>238</v>
      </c>
      <c r="AB10" s="278" t="s">
        <v>327</v>
      </c>
      <c r="AC10" s="373" t="s">
        <v>328</v>
      </c>
      <c r="AD10" s="280" t="s">
        <v>329</v>
      </c>
      <c r="AE10" s="280" t="s">
        <v>238</v>
      </c>
      <c r="AF10" s="278" t="s">
        <v>327</v>
      </c>
    </row>
    <row r="11" spans="2:32" x14ac:dyDescent="0.3">
      <c r="B11" s="1418" t="s">
        <v>1821</v>
      </c>
      <c r="C11" s="1419"/>
      <c r="D11" s="1419"/>
      <c r="E11" s="1419"/>
      <c r="F11" s="1419"/>
      <c r="G11" s="1419"/>
      <c r="H11" s="1419"/>
      <c r="I11" s="1419"/>
      <c r="J11" s="1419"/>
      <c r="K11" s="1419"/>
      <c r="L11" s="1419"/>
      <c r="M11" s="1419"/>
      <c r="N11" s="1419"/>
      <c r="O11" s="1419"/>
      <c r="P11" s="1419"/>
      <c r="Q11" s="1419"/>
      <c r="R11" s="1419"/>
      <c r="S11" s="1419"/>
      <c r="T11" s="1419"/>
      <c r="U11" s="1419"/>
      <c r="V11" s="1419"/>
      <c r="W11" s="1419"/>
      <c r="X11" s="1419"/>
      <c r="Y11" s="1419"/>
      <c r="Z11" s="1419"/>
      <c r="AA11" s="1419"/>
      <c r="AB11" s="1419"/>
      <c r="AC11" s="1419"/>
      <c r="AD11" s="1419"/>
      <c r="AE11" s="1419"/>
      <c r="AF11" s="1420"/>
    </row>
    <row r="12" spans="2:32" x14ac:dyDescent="0.3">
      <c r="B12" s="1011" t="s">
        <v>1796</v>
      </c>
      <c r="C12" s="1012"/>
      <c r="D12" s="1009">
        <f t="shared" ref="D12:S12" si="0">D38</f>
        <v>1.5156509117148609E-2</v>
      </c>
      <c r="E12" s="1009">
        <f t="shared" si="0"/>
        <v>8.3593342288621475E-3</v>
      </c>
      <c r="F12" s="1009">
        <f t="shared" si="0"/>
        <v>2.4734353401225873E-2</v>
      </c>
      <c r="G12" s="1009">
        <f t="shared" si="0"/>
        <v>1.0490970472330163E-2</v>
      </c>
      <c r="H12" s="1009">
        <f t="shared" si="0"/>
        <v>1.4569048707785859E-2</v>
      </c>
      <c r="I12" s="1009">
        <f t="shared" si="0"/>
        <v>1.4662498774455912E-2</v>
      </c>
      <c r="J12" s="1009">
        <f t="shared" si="0"/>
        <v>-1.794085945788193E-2</v>
      </c>
      <c r="K12" s="1009">
        <f t="shared" si="0"/>
        <v>3.3775526155126689E-2</v>
      </c>
      <c r="L12" s="1009">
        <f t="shared" si="0"/>
        <v>1.6442937470855457E-2</v>
      </c>
      <c r="M12" s="1009">
        <f t="shared" si="0"/>
        <v>4.5025943450949013E-2</v>
      </c>
      <c r="N12" s="1009">
        <f t="shared" si="0"/>
        <v>6.444180274366329E-2</v>
      </c>
      <c r="O12" s="1009">
        <f t="shared" si="0"/>
        <v>5.5998846943190017E-2</v>
      </c>
      <c r="P12" s="1009">
        <f t="shared" si="0"/>
        <v>6.1859650545573519E-2</v>
      </c>
      <c r="Q12" s="1009">
        <f t="shared" si="0"/>
        <v>7.4784916271317448E-2</v>
      </c>
      <c r="R12" s="1009">
        <f t="shared" si="0"/>
        <v>7.2922192171477107E-2</v>
      </c>
      <c r="S12" s="1009">
        <f t="shared" si="0"/>
        <v>4.3177876601944165E-2</v>
      </c>
      <c r="T12" s="1010">
        <f>T38</f>
        <v>3.6959130883695179E-2</v>
      </c>
      <c r="U12" s="1009">
        <f>U38+U13</f>
        <v>3.5724460314211282E-2</v>
      </c>
      <c r="V12" s="1009">
        <f t="shared" ref="V12:AF12" si="1">V38+V13</f>
        <v>3.3692799617050628E-2</v>
      </c>
      <c r="W12" s="1009">
        <f t="shared" si="1"/>
        <v>3.3167790258204821E-2</v>
      </c>
      <c r="X12" s="1009">
        <f t="shared" si="1"/>
        <v>2.9707222134434552E-2</v>
      </c>
      <c r="Y12" s="1009">
        <f t="shared" si="1"/>
        <v>2.6454849931970781E-2</v>
      </c>
      <c r="Z12" s="1009">
        <f t="shared" si="1"/>
        <v>2.4178630417615032E-2</v>
      </c>
      <c r="AA12" s="1009">
        <f t="shared" si="1"/>
        <v>2.3052401549803703E-2</v>
      </c>
      <c r="AB12" s="1009">
        <f t="shared" si="1"/>
        <v>2.2407286089961342E-2</v>
      </c>
      <c r="AC12" s="1009">
        <f t="shared" si="1"/>
        <v>2.2473232090692186E-2</v>
      </c>
      <c r="AD12" s="1009">
        <f t="shared" si="1"/>
        <v>2.2071462401670683E-2</v>
      </c>
      <c r="AE12" s="1009">
        <f t="shared" si="1"/>
        <v>2.1752174739111618E-2</v>
      </c>
      <c r="AF12" s="1010">
        <f t="shared" si="1"/>
        <v>2.1591374086621817E-2</v>
      </c>
    </row>
    <row r="13" spans="2:32" x14ac:dyDescent="0.3">
      <c r="B13" s="1018" t="s">
        <v>1883</v>
      </c>
      <c r="C13" s="1013"/>
      <c r="D13" s="1014"/>
      <c r="E13" s="1015"/>
      <c r="F13" s="1015"/>
      <c r="G13" s="1015"/>
      <c r="H13" s="1015"/>
      <c r="I13" s="1015"/>
      <c r="J13" s="1015"/>
      <c r="K13" s="1015"/>
      <c r="L13" s="1015"/>
      <c r="M13" s="1015"/>
      <c r="N13" s="1015"/>
      <c r="O13" s="1015"/>
      <c r="P13" s="1015"/>
      <c r="Q13" s="1015"/>
      <c r="R13" s="1015"/>
      <c r="S13" s="1015"/>
      <c r="T13" s="1016"/>
      <c r="U13" s="1015"/>
      <c r="V13" s="1015"/>
      <c r="W13" s="1015"/>
      <c r="X13" s="1015"/>
      <c r="Y13" s="1015"/>
      <c r="Z13" s="1015"/>
      <c r="AA13" s="1015"/>
      <c r="AB13" s="1015"/>
      <c r="AC13" s="1015"/>
      <c r="AD13" s="1015"/>
      <c r="AE13" s="1015"/>
      <c r="AF13" s="1016"/>
    </row>
    <row r="14" spans="2:32" x14ac:dyDescent="0.3">
      <c r="B14" s="782" t="s">
        <v>1797</v>
      </c>
      <c r="C14" s="1012"/>
      <c r="D14" s="1008">
        <f t="shared" ref="D14:S14" si="2">D39</f>
        <v>2.9652502701153827E-2</v>
      </c>
      <c r="E14" s="1008">
        <f t="shared" si="2"/>
        <v>4.3357912415273203E-2</v>
      </c>
      <c r="F14" s="1008">
        <f t="shared" si="2"/>
        <v>-2.634393397263235E-2</v>
      </c>
      <c r="G14" s="1008">
        <f t="shared" si="2"/>
        <v>1.0018821110834297E-2</v>
      </c>
      <c r="H14" s="1008">
        <f t="shared" si="2"/>
        <v>1.6245763277308534E-2</v>
      </c>
      <c r="I14" s="1008">
        <f t="shared" si="2"/>
        <v>1.3591255249431944E-2</v>
      </c>
      <c r="J14" s="1008">
        <f t="shared" si="2"/>
        <v>3.3104511883148557E-3</v>
      </c>
      <c r="K14" s="1008">
        <f t="shared" si="2"/>
        <v>2.5959727144998501E-2</v>
      </c>
      <c r="L14" s="1008">
        <f t="shared" si="2"/>
        <v>2.4447407360365325E-2</v>
      </c>
      <c r="M14" s="1008">
        <f t="shared" si="2"/>
        <v>4.0827649049088865E-2</v>
      </c>
      <c r="N14" s="1008">
        <f t="shared" si="2"/>
        <v>4.1247362410053112E-2</v>
      </c>
      <c r="O14" s="1008">
        <f t="shared" si="2"/>
        <v>4.4017858095279694E-2</v>
      </c>
      <c r="P14" s="1008">
        <f t="shared" si="2"/>
        <v>4.3432299825096221E-2</v>
      </c>
      <c r="Q14" s="1008">
        <f t="shared" si="2"/>
        <v>5.6798579453040565E-2</v>
      </c>
      <c r="R14" s="1008">
        <f t="shared" si="2"/>
        <v>5.9959109255099508E-2</v>
      </c>
      <c r="S14" s="1008">
        <f t="shared" si="2"/>
        <v>4.8205722331254197E-2</v>
      </c>
      <c r="T14" s="972">
        <f>T39</f>
        <v>3.084492349222212E-2</v>
      </c>
      <c r="U14" s="1008">
        <f>U39+U15</f>
        <v>2.5929771595060602E-2</v>
      </c>
      <c r="V14" s="1008">
        <f t="shared" ref="V14:AF14" si="3">V39+V15</f>
        <v>2.3505953506363975E-2</v>
      </c>
      <c r="W14" s="1008">
        <f t="shared" si="3"/>
        <v>2.5343185973087934E-2</v>
      </c>
      <c r="X14" s="1008">
        <f t="shared" si="3"/>
        <v>2.5512101094298911E-2</v>
      </c>
      <c r="Y14" s="1008">
        <f t="shared" si="3"/>
        <v>2.940897202642212E-2</v>
      </c>
      <c r="Z14" s="1008">
        <f t="shared" si="3"/>
        <v>2.823164052632654E-2</v>
      </c>
      <c r="AA14" s="1008">
        <f t="shared" si="3"/>
        <v>2.7484808362226332E-2</v>
      </c>
      <c r="AB14" s="1008">
        <f t="shared" si="3"/>
        <v>2.6738284169484539E-2</v>
      </c>
      <c r="AC14" s="1008">
        <f t="shared" si="3"/>
        <v>2.4037894596453224E-2</v>
      </c>
      <c r="AD14" s="1008">
        <f t="shared" si="3"/>
        <v>2.4492235467838519E-2</v>
      </c>
      <c r="AE14" s="1008">
        <f t="shared" si="3"/>
        <v>2.4419305134427693E-2</v>
      </c>
      <c r="AF14" s="972">
        <f t="shared" si="3"/>
        <v>2.4121029556380291E-2</v>
      </c>
    </row>
    <row r="15" spans="2:32" x14ac:dyDescent="0.3">
      <c r="B15" s="169" t="s">
        <v>1884</v>
      </c>
      <c r="C15" s="1013"/>
      <c r="D15" s="1014"/>
      <c r="E15" s="1015"/>
      <c r="F15" s="1015"/>
      <c r="G15" s="1015"/>
      <c r="H15" s="1015"/>
      <c r="I15" s="1015"/>
      <c r="J15" s="1015"/>
      <c r="K15" s="1015"/>
      <c r="L15" s="1015"/>
      <c r="M15" s="1015"/>
      <c r="N15" s="1015"/>
      <c r="O15" s="1015"/>
      <c r="P15" s="1015"/>
      <c r="Q15" s="1015"/>
      <c r="R15" s="1015"/>
      <c r="S15" s="1015"/>
      <c r="T15" s="1016"/>
      <c r="U15" s="1015"/>
      <c r="V15" s="1015"/>
      <c r="W15" s="1015"/>
      <c r="X15" s="1015"/>
      <c r="Y15" s="1015"/>
      <c r="Z15" s="1015"/>
      <c r="AA15" s="1015"/>
      <c r="AB15" s="1015"/>
      <c r="AC15" s="1015"/>
      <c r="AD15" s="1015"/>
      <c r="AE15" s="1015"/>
      <c r="AF15" s="1016"/>
    </row>
    <row r="16" spans="2:32" x14ac:dyDescent="0.3">
      <c r="B16" s="782" t="s">
        <v>1798</v>
      </c>
      <c r="C16" s="1012"/>
      <c r="D16" s="1008">
        <f t="shared" ref="D16:T16" si="4">D40</f>
        <v>2.0739486303195998E-2</v>
      </c>
      <c r="E16" s="1008">
        <f t="shared" si="4"/>
        <v>-1.0909955372547464E-2</v>
      </c>
      <c r="F16" s="1008">
        <f t="shared" si="4"/>
        <v>2.9915559028399707E-2</v>
      </c>
      <c r="G16" s="1008">
        <f t="shared" si="4"/>
        <v>1.0527559706478895E-2</v>
      </c>
      <c r="H16" s="1008">
        <f t="shared" si="4"/>
        <v>1.4919704890896002E-2</v>
      </c>
      <c r="I16" s="1008">
        <f t="shared" si="4"/>
        <v>4.3158369252632278E-2</v>
      </c>
      <c r="J16" s="1008">
        <f t="shared" si="4"/>
        <v>-2.2930962354547058E-3</v>
      </c>
      <c r="K16" s="1008">
        <f t="shared" si="4"/>
        <v>3.587837095953339E-2</v>
      </c>
      <c r="L16" s="1008">
        <f t="shared" si="4"/>
        <v>4.5534894387470937E-2</v>
      </c>
      <c r="M16" s="1008">
        <f t="shared" si="4"/>
        <v>8.7714323909891423E-2</v>
      </c>
      <c r="N16" s="1008">
        <f t="shared" si="4"/>
        <v>8.4888593948209357E-2</v>
      </c>
      <c r="O16" s="1008">
        <f t="shared" si="4"/>
        <v>6.9703587118332688E-2</v>
      </c>
      <c r="P16" s="1008">
        <f t="shared" si="4"/>
        <v>9.0463399615994478E-2</v>
      </c>
      <c r="Q16" s="1008">
        <f t="shared" si="4"/>
        <v>0.10558682780244433</v>
      </c>
      <c r="R16" s="1008">
        <f t="shared" si="4"/>
        <v>0.14979890704557142</v>
      </c>
      <c r="S16" s="1008">
        <f t="shared" si="4"/>
        <v>2.9055945911607095E-2</v>
      </c>
      <c r="T16" s="972">
        <f t="shared" si="4"/>
        <v>3.7674447238076336E-2</v>
      </c>
      <c r="U16" s="1008">
        <f>U40+U17</f>
        <v>3.4770037870923476E-2</v>
      </c>
      <c r="V16" s="1008">
        <f t="shared" ref="V16:AF16" si="5">V40+V17</f>
        <v>3.2439960780993538E-2</v>
      </c>
      <c r="W16" s="1008">
        <f t="shared" si="5"/>
        <v>3.4971806389749727E-2</v>
      </c>
      <c r="X16" s="1008">
        <f t="shared" si="5"/>
        <v>3.4409055377128128E-2</v>
      </c>
      <c r="Y16" s="1008">
        <f t="shared" si="5"/>
        <v>3.1280978879036248E-2</v>
      </c>
      <c r="Z16" s="1008">
        <f t="shared" si="5"/>
        <v>2.8069377631034564E-2</v>
      </c>
      <c r="AA16" s="1008">
        <f t="shared" si="5"/>
        <v>2.7079936500734814E-2</v>
      </c>
      <c r="AB16" s="1008">
        <f t="shared" si="5"/>
        <v>2.6642026237504224E-2</v>
      </c>
      <c r="AC16" s="1008">
        <f t="shared" si="5"/>
        <v>2.7649904239910983E-2</v>
      </c>
      <c r="AD16" s="1008">
        <f t="shared" si="5"/>
        <v>2.7332985680263322E-2</v>
      </c>
      <c r="AE16" s="1008">
        <f t="shared" si="5"/>
        <v>2.7468596479684804E-2</v>
      </c>
      <c r="AF16" s="972">
        <f t="shared" si="5"/>
        <v>2.7135528596684111E-2</v>
      </c>
    </row>
    <row r="17" spans="2:33" x14ac:dyDescent="0.3">
      <c r="B17" s="169" t="s">
        <v>1885</v>
      </c>
      <c r="C17" s="1013"/>
      <c r="D17" s="1014"/>
      <c r="E17" s="1015"/>
      <c r="F17" s="1015"/>
      <c r="G17" s="1015"/>
      <c r="H17" s="1015"/>
      <c r="I17" s="1015"/>
      <c r="J17" s="1015"/>
      <c r="K17" s="1015"/>
      <c r="L17" s="1015"/>
      <c r="M17" s="1015"/>
      <c r="N17" s="1015"/>
      <c r="O17" s="1015"/>
      <c r="P17" s="1015"/>
      <c r="Q17" s="1015"/>
      <c r="R17" s="1015"/>
      <c r="S17" s="1015"/>
      <c r="T17" s="1016"/>
      <c r="U17" s="1015"/>
      <c r="V17" s="1015"/>
      <c r="W17" s="1015"/>
      <c r="X17" s="1015"/>
      <c r="Y17" s="1015"/>
      <c r="Z17" s="1015"/>
      <c r="AA17" s="1015"/>
      <c r="AB17" s="1015"/>
      <c r="AC17" s="1015"/>
      <c r="AD17" s="1015"/>
      <c r="AE17" s="1015"/>
      <c r="AF17" s="1016"/>
    </row>
    <row r="18" spans="2:33" x14ac:dyDescent="0.3">
      <c r="B18" s="782" t="s">
        <v>1799</v>
      </c>
      <c r="C18" s="1012"/>
      <c r="D18" s="1008">
        <f t="shared" ref="D18:T18" si="6">D41</f>
        <v>1.6036274889288604E-2</v>
      </c>
      <c r="E18" s="1008">
        <f t="shared" si="6"/>
        <v>-1.6750426853228473E-2</v>
      </c>
      <c r="F18" s="1008">
        <f t="shared" si="6"/>
        <v>2.5813818283004775E-2</v>
      </c>
      <c r="G18" s="1008">
        <f t="shared" si="6"/>
        <v>8.6124156242581851E-3</v>
      </c>
      <c r="H18" s="1008">
        <f t="shared" si="6"/>
        <v>1.6996215944869331E-2</v>
      </c>
      <c r="I18" s="1008">
        <f t="shared" si="6"/>
        <v>5.0660572456327158E-2</v>
      </c>
      <c r="J18" s="1008">
        <f t="shared" si="6"/>
        <v>-1.0613393340251909E-3</v>
      </c>
      <c r="K18" s="1008">
        <f t="shared" si="6"/>
        <v>3.4596703938156059E-2</v>
      </c>
      <c r="L18" s="1008">
        <f t="shared" si="6"/>
        <v>5.1547958936444926E-2</v>
      </c>
      <c r="M18" s="1008">
        <f t="shared" si="6"/>
        <v>9.2834286401326738E-2</v>
      </c>
      <c r="N18" s="1008">
        <f t="shared" si="6"/>
        <v>8.057551462066237E-2</v>
      </c>
      <c r="O18" s="1008">
        <f t="shared" si="6"/>
        <v>6.4680375979367932E-2</v>
      </c>
      <c r="P18" s="1008">
        <f t="shared" si="6"/>
        <v>8.4136934840179034E-2</v>
      </c>
      <c r="Q18" s="1008">
        <f t="shared" si="6"/>
        <v>0.10120576467409093</v>
      </c>
      <c r="R18" s="1008">
        <f t="shared" si="6"/>
        <v>0.15221841372862355</v>
      </c>
      <c r="S18" s="1008">
        <f t="shared" si="6"/>
        <v>1.6422651906601304E-2</v>
      </c>
      <c r="T18" s="972">
        <f t="shared" si="6"/>
        <v>3.4553492951127307E-2</v>
      </c>
      <c r="U18" s="1008">
        <f>U41+U19</f>
        <v>3.4770037870923476E-2</v>
      </c>
      <c r="V18" s="1008">
        <f t="shared" ref="V18:AF18" si="7">V41+V19</f>
        <v>3.2439960780993538E-2</v>
      </c>
      <c r="W18" s="1008">
        <f t="shared" si="7"/>
        <v>3.4971806389749727E-2</v>
      </c>
      <c r="X18" s="1008">
        <f t="shared" si="7"/>
        <v>3.4409055377128128E-2</v>
      </c>
      <c r="Y18" s="1008">
        <f t="shared" si="7"/>
        <v>3.1280978879036248E-2</v>
      </c>
      <c r="Z18" s="1008">
        <f t="shared" si="7"/>
        <v>2.8069377631034564E-2</v>
      </c>
      <c r="AA18" s="1008">
        <f t="shared" si="7"/>
        <v>2.7079936500734814E-2</v>
      </c>
      <c r="AB18" s="1008">
        <f t="shared" si="7"/>
        <v>2.6642026237504224E-2</v>
      </c>
      <c r="AC18" s="1008">
        <f t="shared" si="7"/>
        <v>2.7649904239910983E-2</v>
      </c>
      <c r="AD18" s="1008">
        <f t="shared" si="7"/>
        <v>2.7332985680263322E-2</v>
      </c>
      <c r="AE18" s="1008">
        <f t="shared" si="7"/>
        <v>2.7468596479684804E-2</v>
      </c>
      <c r="AF18" s="972">
        <f t="shared" si="7"/>
        <v>2.7135528596684111E-2</v>
      </c>
    </row>
    <row r="19" spans="2:33" x14ac:dyDescent="0.3">
      <c r="B19" s="169" t="s">
        <v>1886</v>
      </c>
      <c r="C19" s="1013"/>
      <c r="D19" s="1014"/>
      <c r="E19" s="1015"/>
      <c r="F19" s="1015"/>
      <c r="G19" s="1015"/>
      <c r="H19" s="1015"/>
      <c r="I19" s="1015"/>
      <c r="J19" s="1015"/>
      <c r="K19" s="1015"/>
      <c r="L19" s="1015"/>
      <c r="M19" s="1015"/>
      <c r="N19" s="1015"/>
      <c r="O19" s="1015"/>
      <c r="P19" s="1015"/>
      <c r="Q19" s="1015"/>
      <c r="R19" s="1015"/>
      <c r="S19" s="1015"/>
      <c r="T19" s="1016"/>
      <c r="U19" s="1015"/>
      <c r="V19" s="1015"/>
      <c r="W19" s="1015"/>
      <c r="X19" s="1015"/>
      <c r="Y19" s="1015"/>
      <c r="Z19" s="1015"/>
      <c r="AA19" s="1015"/>
      <c r="AB19" s="1015"/>
      <c r="AC19" s="1015"/>
      <c r="AD19" s="1015"/>
      <c r="AE19" s="1015"/>
      <c r="AF19" s="1016"/>
      <c r="AG19" s="1017"/>
    </row>
    <row r="20" spans="2:33" x14ac:dyDescent="0.3">
      <c r="B20" s="782" t="s">
        <v>1800</v>
      </c>
      <c r="C20" s="1012"/>
      <c r="D20" s="1008">
        <f t="shared" ref="D20:T20" si="8">D42</f>
        <v>4.1912016313215839E-2</v>
      </c>
      <c r="E20" s="1008">
        <f t="shared" si="8"/>
        <v>1.5721372171975556E-2</v>
      </c>
      <c r="F20" s="1008">
        <f t="shared" si="8"/>
        <v>4.8037769815769016E-2</v>
      </c>
      <c r="G20" s="1008">
        <f t="shared" si="8"/>
        <v>1.9083730667159404E-2</v>
      </c>
      <c r="H20" s="1008">
        <f t="shared" si="8"/>
        <v>5.8979339636944239E-3</v>
      </c>
      <c r="I20" s="1008">
        <f t="shared" si="8"/>
        <v>1.0418465412080913E-2</v>
      </c>
      <c r="J20" s="1008">
        <f t="shared" si="8"/>
        <v>-7.6555980249765065E-3</v>
      </c>
      <c r="K20" s="1008">
        <f t="shared" si="8"/>
        <v>4.135501545294451E-2</v>
      </c>
      <c r="L20" s="1008">
        <f t="shared" si="8"/>
        <v>1.8415186976738607E-2</v>
      </c>
      <c r="M20" s="1008">
        <f t="shared" si="8"/>
        <v>6.4160755006020143E-2</v>
      </c>
      <c r="N20" s="1008">
        <f t="shared" si="8"/>
        <v>0.10458990215743946</v>
      </c>
      <c r="O20" s="1008">
        <f t="shared" si="8"/>
        <v>9.3631239224950313E-2</v>
      </c>
      <c r="P20" s="1008">
        <f t="shared" si="8"/>
        <v>0.12124821634027616</v>
      </c>
      <c r="Q20" s="1008">
        <f t="shared" si="8"/>
        <v>0.12687792670398412</v>
      </c>
      <c r="R20" s="1008">
        <f t="shared" si="8"/>
        <v>0.13796693794697101</v>
      </c>
      <c r="S20" s="1008">
        <f t="shared" si="8"/>
        <v>9.3268944702830758E-2</v>
      </c>
      <c r="T20" s="972">
        <f t="shared" si="8"/>
        <v>5.2666155244963875E-2</v>
      </c>
      <c r="U20" s="1008">
        <f>U42+U21</f>
        <v>3.4770037870923476E-2</v>
      </c>
      <c r="V20" s="1008">
        <f t="shared" ref="V20:AF20" si="9">V42+V21</f>
        <v>3.2439960780993538E-2</v>
      </c>
      <c r="W20" s="1008">
        <f t="shared" si="9"/>
        <v>3.4971806389749727E-2</v>
      </c>
      <c r="X20" s="1008">
        <f t="shared" si="9"/>
        <v>3.4409055377128128E-2</v>
      </c>
      <c r="Y20" s="1008">
        <f t="shared" si="9"/>
        <v>3.1280978879036248E-2</v>
      </c>
      <c r="Z20" s="1008">
        <f t="shared" si="9"/>
        <v>2.8069377631034564E-2</v>
      </c>
      <c r="AA20" s="1008">
        <f t="shared" si="9"/>
        <v>2.7079936500734814E-2</v>
      </c>
      <c r="AB20" s="1008">
        <f t="shared" si="9"/>
        <v>2.6642026237504224E-2</v>
      </c>
      <c r="AC20" s="1008">
        <f t="shared" si="9"/>
        <v>2.7649904239910983E-2</v>
      </c>
      <c r="AD20" s="1008">
        <f t="shared" si="9"/>
        <v>2.7332985680263322E-2</v>
      </c>
      <c r="AE20" s="1008">
        <f t="shared" si="9"/>
        <v>2.7468596479684804E-2</v>
      </c>
      <c r="AF20" s="972">
        <f t="shared" si="9"/>
        <v>2.7135528596684111E-2</v>
      </c>
    </row>
    <row r="21" spans="2:33" x14ac:dyDescent="0.3">
      <c r="B21" s="169" t="s">
        <v>1887</v>
      </c>
      <c r="C21" s="1013"/>
      <c r="D21" s="974"/>
      <c r="E21" s="974"/>
      <c r="F21" s="974"/>
      <c r="G21" s="974"/>
      <c r="H21" s="974"/>
      <c r="I21" s="974"/>
      <c r="J21" s="974"/>
      <c r="K21" s="974"/>
      <c r="L21" s="974"/>
      <c r="M21" s="974"/>
      <c r="N21" s="974"/>
      <c r="O21" s="974"/>
      <c r="P21" s="974"/>
      <c r="Q21" s="974"/>
      <c r="R21" s="974"/>
      <c r="S21" s="974"/>
      <c r="T21" s="975"/>
      <c r="U21" s="974"/>
      <c r="V21" s="974"/>
      <c r="W21" s="974"/>
      <c r="X21" s="974"/>
      <c r="Y21" s="974"/>
      <c r="Z21" s="974"/>
      <c r="AA21" s="974"/>
      <c r="AB21" s="974"/>
      <c r="AC21" s="974"/>
      <c r="AD21" s="974"/>
      <c r="AE21" s="974"/>
      <c r="AF21" s="975"/>
    </row>
    <row r="22" spans="2:33" x14ac:dyDescent="0.3">
      <c r="B22" s="1422" t="s">
        <v>1826</v>
      </c>
      <c r="C22" s="1423"/>
      <c r="D22" s="1423"/>
      <c r="E22" s="1423"/>
      <c r="F22" s="1423"/>
      <c r="G22" s="1423"/>
      <c r="H22" s="1423"/>
      <c r="I22" s="1423"/>
      <c r="J22" s="1423"/>
      <c r="K22" s="1423"/>
      <c r="L22" s="1423"/>
      <c r="M22" s="1423"/>
      <c r="N22" s="1423"/>
      <c r="O22" s="1423"/>
      <c r="P22" s="1423"/>
      <c r="Q22" s="1423"/>
      <c r="R22" s="1423"/>
      <c r="S22" s="1423"/>
      <c r="T22" s="1423"/>
      <c r="U22" s="1423"/>
      <c r="V22" s="1423"/>
      <c r="W22" s="1423"/>
      <c r="X22" s="1423"/>
      <c r="Y22" s="1423"/>
      <c r="Z22" s="1423"/>
      <c r="AA22" s="1423"/>
      <c r="AB22" s="1423"/>
      <c r="AC22" s="1423"/>
      <c r="AD22" s="1423"/>
      <c r="AE22" s="1423"/>
      <c r="AF22" s="1424"/>
    </row>
    <row r="23" spans="2:33" x14ac:dyDescent="0.3">
      <c r="B23" s="1001" t="s">
        <v>1796</v>
      </c>
      <c r="C23" s="1002"/>
      <c r="D23" s="999">
        <f t="shared" ref="D23:AF23" si="10">(D12+1)^0.25-1</f>
        <v>3.7677794973836054E-3</v>
      </c>
      <c r="E23" s="999">
        <f t="shared" si="10"/>
        <v>2.0833142133425131E-3</v>
      </c>
      <c r="F23" s="999">
        <f t="shared" si="10"/>
        <v>6.127046928233737E-3</v>
      </c>
      <c r="G23" s="999">
        <f t="shared" si="10"/>
        <v>2.6124871423760521E-3</v>
      </c>
      <c r="H23" s="999">
        <f t="shared" si="10"/>
        <v>3.6225305055199719E-3</v>
      </c>
      <c r="I23" s="999">
        <f t="shared" si="10"/>
        <v>3.6456401581284048E-3</v>
      </c>
      <c r="J23" s="999">
        <f t="shared" si="10"/>
        <v>-4.5157103455735204E-3</v>
      </c>
      <c r="K23" s="999">
        <f t="shared" si="10"/>
        <v>8.3389922585903609E-3</v>
      </c>
      <c r="L23" s="999">
        <f t="shared" si="10"/>
        <v>4.0856275703535783E-3</v>
      </c>
      <c r="M23" s="999">
        <f t="shared" si="10"/>
        <v>1.1071265683547882E-2</v>
      </c>
      <c r="N23" s="999">
        <f t="shared" si="10"/>
        <v>1.5735147135566452E-2</v>
      </c>
      <c r="O23" s="999">
        <f t="shared" si="10"/>
        <v>1.3714972395896918E-2</v>
      </c>
      <c r="P23" s="999">
        <f t="shared" si="10"/>
        <v>1.5118586412170565E-2</v>
      </c>
      <c r="Q23" s="999">
        <f t="shared" si="10"/>
        <v>1.8193665219635502E-2</v>
      </c>
      <c r="R23" s="999">
        <f t="shared" si="10"/>
        <v>1.7752216949378008E-2</v>
      </c>
      <c r="S23" s="1000">
        <f t="shared" si="10"/>
        <v>1.0623963938950931E-2</v>
      </c>
      <c r="T23" s="999">
        <f t="shared" si="10"/>
        <v>9.1144149967679056E-3</v>
      </c>
      <c r="U23" s="999">
        <f t="shared" si="10"/>
        <v>8.8139015717265679E-3</v>
      </c>
      <c r="V23" s="999">
        <f t="shared" si="10"/>
        <v>8.3188189000429347E-3</v>
      </c>
      <c r="W23" s="999">
        <f t="shared" si="10"/>
        <v>8.1907640097225176E-3</v>
      </c>
      <c r="X23" s="999">
        <f t="shared" si="10"/>
        <v>7.3454744803962413E-3</v>
      </c>
      <c r="Y23" s="999">
        <f t="shared" si="10"/>
        <v>6.5490951570947864E-3</v>
      </c>
      <c r="Z23" s="999">
        <f t="shared" si="10"/>
        <v>5.9906111616996327E-3</v>
      </c>
      <c r="AA23" s="999">
        <f t="shared" si="10"/>
        <v>5.71393990210467E-3</v>
      </c>
      <c r="AB23" s="999">
        <f t="shared" si="10"/>
        <v>5.5553568504056461E-3</v>
      </c>
      <c r="AC23" s="999">
        <f t="shared" si="10"/>
        <v>5.5715712180339771E-3</v>
      </c>
      <c r="AD23" s="999">
        <f t="shared" si="10"/>
        <v>5.4727745674469919E-3</v>
      </c>
      <c r="AE23" s="999">
        <f t="shared" si="10"/>
        <v>5.39423977829534E-3</v>
      </c>
      <c r="AF23" s="1000">
        <f t="shared" si="10"/>
        <v>5.354680872593276E-3</v>
      </c>
    </row>
    <row r="24" spans="2:33" x14ac:dyDescent="0.3">
      <c r="B24" s="1003" t="s">
        <v>1797</v>
      </c>
      <c r="C24" s="1002"/>
      <c r="D24" s="999">
        <f t="shared" ref="D24:AF24" si="11">(D14+1)^0.25-1</f>
        <v>7.3320914354932931E-3</v>
      </c>
      <c r="E24" s="999">
        <f t="shared" si="11"/>
        <v>1.0667565499398624E-2</v>
      </c>
      <c r="F24" s="999">
        <f t="shared" si="11"/>
        <v>-6.652064573700045E-3</v>
      </c>
      <c r="G24" s="999">
        <f t="shared" si="11"/>
        <v>2.495349575790673E-3</v>
      </c>
      <c r="H24" s="999">
        <f t="shared" si="11"/>
        <v>4.0369297610427513E-3</v>
      </c>
      <c r="I24" s="999">
        <f t="shared" si="11"/>
        <v>3.3806321331337763E-3</v>
      </c>
      <c r="J24" s="999">
        <f t="shared" si="11"/>
        <v>8.2658736219798357E-4</v>
      </c>
      <c r="K24" s="999">
        <f t="shared" si="11"/>
        <v>6.4276929430036045E-3</v>
      </c>
      <c r="L24" s="999">
        <f t="shared" si="11"/>
        <v>6.0566056248829714E-3</v>
      </c>
      <c r="M24" s="999">
        <f t="shared" si="11"/>
        <v>1.0054261091605454E-2</v>
      </c>
      <c r="N24" s="999">
        <f t="shared" si="11"/>
        <v>1.0156071698179447E-2</v>
      </c>
      <c r="O24" s="999">
        <f t="shared" si="11"/>
        <v>1.0827344693645324E-2</v>
      </c>
      <c r="P24" s="999">
        <f t="shared" si="11"/>
        <v>1.0685579196217487E-2</v>
      </c>
      <c r="Q24" s="999">
        <f t="shared" si="11"/>
        <v>1.3906845400109002E-2</v>
      </c>
      <c r="R24" s="999">
        <f t="shared" si="11"/>
        <v>1.4664060468276618E-2</v>
      </c>
      <c r="S24" s="1000">
        <f t="shared" si="11"/>
        <v>1.1839505254193972E-2</v>
      </c>
      <c r="T24" s="999">
        <f t="shared" si="11"/>
        <v>7.623607854032155E-3</v>
      </c>
      <c r="U24" s="999">
        <f t="shared" si="11"/>
        <v>6.420346547156619E-3</v>
      </c>
      <c r="V24" s="999">
        <f t="shared" si="11"/>
        <v>5.8253876907148339E-3</v>
      </c>
      <c r="W24" s="999">
        <f t="shared" si="11"/>
        <v>6.2764579641267915E-3</v>
      </c>
      <c r="X24" s="999">
        <f t="shared" si="11"/>
        <v>6.3178989208103609E-3</v>
      </c>
      <c r="Y24" s="999">
        <f t="shared" si="11"/>
        <v>7.2725232743062751E-3</v>
      </c>
      <c r="Z24" s="999">
        <f t="shared" si="11"/>
        <v>6.9843961411393263E-3</v>
      </c>
      <c r="AA24" s="999">
        <f t="shared" si="11"/>
        <v>6.8014963862881306E-3</v>
      </c>
      <c r="AB24" s="999">
        <f t="shared" si="11"/>
        <v>6.6185723821980957E-3</v>
      </c>
      <c r="AC24" s="999">
        <f t="shared" si="11"/>
        <v>5.9560502446180941E-3</v>
      </c>
      <c r="AD24" s="999">
        <f t="shared" si="11"/>
        <v>6.067611283465224E-3</v>
      </c>
      <c r="AE24" s="999">
        <f t="shared" si="11"/>
        <v>6.0497061196782553E-3</v>
      </c>
      <c r="AF24" s="1000">
        <f t="shared" si="11"/>
        <v>5.9764663763033354E-3</v>
      </c>
    </row>
    <row r="25" spans="2:33" x14ac:dyDescent="0.3">
      <c r="B25" s="1003" t="s">
        <v>1798</v>
      </c>
      <c r="C25" s="1002"/>
      <c r="D25" s="999">
        <f t="shared" ref="D25:AF25" si="12">(D16+1)^0.25-1</f>
        <v>5.1450282316933826E-3</v>
      </c>
      <c r="E25" s="999">
        <f t="shared" si="12"/>
        <v>-2.7387191894091556E-3</v>
      </c>
      <c r="F25" s="999">
        <f t="shared" si="12"/>
        <v>7.3964237457664339E-3</v>
      </c>
      <c r="G25" s="999">
        <f t="shared" si="12"/>
        <v>2.6215630089621023E-3</v>
      </c>
      <c r="H25" s="999">
        <f t="shared" si="12"/>
        <v>3.7092374780660631E-3</v>
      </c>
      <c r="I25" s="999">
        <f t="shared" si="12"/>
        <v>1.0619239257432245E-2</v>
      </c>
      <c r="J25" s="999">
        <f t="shared" si="12"/>
        <v>-5.737676840339434E-4</v>
      </c>
      <c r="K25" s="999">
        <f t="shared" si="12"/>
        <v>8.8513774045670957E-3</v>
      </c>
      <c r="L25" s="999">
        <f t="shared" si="12"/>
        <v>1.1194346769946906E-2</v>
      </c>
      <c r="M25" s="999">
        <f t="shared" si="12"/>
        <v>2.1242104555839303E-2</v>
      </c>
      <c r="N25" s="999">
        <f t="shared" si="12"/>
        <v>2.0578196323559839E-2</v>
      </c>
      <c r="O25" s="999">
        <f t="shared" si="12"/>
        <v>1.6988080943209027E-2</v>
      </c>
      <c r="P25" s="999">
        <f t="shared" si="12"/>
        <v>2.1886762550021865E-2</v>
      </c>
      <c r="Q25" s="999">
        <f t="shared" si="12"/>
        <v>2.5411571298960212E-2</v>
      </c>
      <c r="R25" s="999">
        <f t="shared" si="12"/>
        <v>3.5512803061239939E-2</v>
      </c>
      <c r="S25" s="1000">
        <f t="shared" si="12"/>
        <v>7.1861535090920192E-3</v>
      </c>
      <c r="T25" s="999">
        <f t="shared" si="12"/>
        <v>9.2883971170441004E-3</v>
      </c>
      <c r="U25" s="999">
        <f t="shared" si="12"/>
        <v>8.5814151419392193E-3</v>
      </c>
      <c r="V25" s="999">
        <f t="shared" si="12"/>
        <v>8.0131585685250251E-3</v>
      </c>
      <c r="W25" s="999">
        <f t="shared" si="12"/>
        <v>8.630577055315225E-3</v>
      </c>
      <c r="X25" s="999">
        <f t="shared" si="12"/>
        <v>8.4934420030498003E-3</v>
      </c>
      <c r="Y25" s="999">
        <f t="shared" si="12"/>
        <v>7.7301491027170766E-3</v>
      </c>
      <c r="Z25" s="999">
        <f t="shared" si="12"/>
        <v>6.9446663109324902E-3</v>
      </c>
      <c r="AA25" s="999">
        <f t="shared" si="12"/>
        <v>6.7023012839417806E-3</v>
      </c>
      <c r="AB25" s="999">
        <f t="shared" si="12"/>
        <v>6.5949786314196679E-3</v>
      </c>
      <c r="AC25" s="999">
        <f t="shared" si="12"/>
        <v>6.8419370723198369E-3</v>
      </c>
      <c r="AD25" s="999">
        <f t="shared" si="12"/>
        <v>6.764302704038716E-3</v>
      </c>
      <c r="AE25" s="999">
        <f t="shared" si="12"/>
        <v>6.7975249786220715E-3</v>
      </c>
      <c r="AF25" s="1000">
        <f t="shared" si="12"/>
        <v>6.7159232896483179E-3</v>
      </c>
    </row>
    <row r="26" spans="2:33" x14ac:dyDescent="0.3">
      <c r="B26" s="1003" t="s">
        <v>1799</v>
      </c>
      <c r="C26" s="1002"/>
      <c r="D26" s="999">
        <f t="shared" ref="D26:AF26" si="13">(D18+1)^0.25-1</f>
        <v>3.9851828444024129E-3</v>
      </c>
      <c r="E26" s="999">
        <f t="shared" si="13"/>
        <v>-4.2141708050640325E-3</v>
      </c>
      <c r="F26" s="999">
        <f t="shared" si="13"/>
        <v>6.3919082655803372E-3</v>
      </c>
      <c r="G26" s="999">
        <f t="shared" si="13"/>
        <v>2.1461848510757608E-3</v>
      </c>
      <c r="H26" s="999">
        <f t="shared" si="13"/>
        <v>4.2222376989240473E-3</v>
      </c>
      <c r="I26" s="999">
        <f t="shared" si="13"/>
        <v>1.2431406205300366E-2</v>
      </c>
      <c r="J26" s="999">
        <f t="shared" si="13"/>
        <v>-2.6544050279575515E-4</v>
      </c>
      <c r="K26" s="999">
        <f t="shared" si="13"/>
        <v>8.5391757168795657E-3</v>
      </c>
      <c r="L26" s="999">
        <f t="shared" si="13"/>
        <v>1.2645113075675285E-2</v>
      </c>
      <c r="M26" s="999">
        <f t="shared" si="13"/>
        <v>2.2441757099008752E-2</v>
      </c>
      <c r="N26" s="999">
        <f t="shared" si="13"/>
        <v>1.9562328778359062E-2</v>
      </c>
      <c r="O26" s="999">
        <f t="shared" si="13"/>
        <v>1.5792056507083485E-2</v>
      </c>
      <c r="P26" s="999">
        <f t="shared" si="13"/>
        <v>2.0401374875263389E-2</v>
      </c>
      <c r="Q26" s="999">
        <f t="shared" si="13"/>
        <v>2.4394219276322904E-2</v>
      </c>
      <c r="R26" s="999">
        <f t="shared" si="13"/>
        <v>3.6057127703905678E-2</v>
      </c>
      <c r="S26" s="1000">
        <f t="shared" si="13"/>
        <v>4.0806177967589452E-3</v>
      </c>
      <c r="T26" s="999">
        <f t="shared" si="13"/>
        <v>8.52864488499816E-3</v>
      </c>
      <c r="U26" s="999">
        <f t="shared" si="13"/>
        <v>8.5814151419392193E-3</v>
      </c>
      <c r="V26" s="999">
        <f t="shared" si="13"/>
        <v>8.0131585685250251E-3</v>
      </c>
      <c r="W26" s="999">
        <f t="shared" si="13"/>
        <v>8.630577055315225E-3</v>
      </c>
      <c r="X26" s="999">
        <f t="shared" si="13"/>
        <v>8.4934420030498003E-3</v>
      </c>
      <c r="Y26" s="999">
        <f t="shared" si="13"/>
        <v>7.7301491027170766E-3</v>
      </c>
      <c r="Z26" s="999">
        <f t="shared" si="13"/>
        <v>6.9446663109324902E-3</v>
      </c>
      <c r="AA26" s="999">
        <f t="shared" si="13"/>
        <v>6.7023012839417806E-3</v>
      </c>
      <c r="AB26" s="999">
        <f t="shared" si="13"/>
        <v>6.5949786314196679E-3</v>
      </c>
      <c r="AC26" s="999">
        <f t="shared" si="13"/>
        <v>6.8419370723198369E-3</v>
      </c>
      <c r="AD26" s="999">
        <f t="shared" si="13"/>
        <v>6.764302704038716E-3</v>
      </c>
      <c r="AE26" s="999">
        <f t="shared" si="13"/>
        <v>6.7975249786220715E-3</v>
      </c>
      <c r="AF26" s="1000">
        <f t="shared" si="13"/>
        <v>6.7159232896483179E-3</v>
      </c>
    </row>
    <row r="27" spans="2:33" x14ac:dyDescent="0.3">
      <c r="B27" s="1004" t="s">
        <v>1800</v>
      </c>
      <c r="C27" s="1005"/>
      <c r="D27" s="1006">
        <f t="shared" ref="D27:AF27" si="14">(D20+1)^0.25-1</f>
        <v>1.0317235016500392E-2</v>
      </c>
      <c r="E27" s="1006">
        <f t="shared" si="14"/>
        <v>3.9073818785286818E-3</v>
      </c>
      <c r="F27" s="1006">
        <f t="shared" si="14"/>
        <v>1.1798971416576265E-2</v>
      </c>
      <c r="G27" s="1006">
        <f t="shared" si="14"/>
        <v>4.7371651351562072E-3</v>
      </c>
      <c r="H27" s="1006">
        <f t="shared" si="14"/>
        <v>1.4712335131508159E-3</v>
      </c>
      <c r="I27" s="1006">
        <f t="shared" si="14"/>
        <v>2.5945017182129604E-3</v>
      </c>
      <c r="J27" s="1006">
        <f t="shared" si="14"/>
        <v>-1.9194186903395138E-3</v>
      </c>
      <c r="K27" s="1006">
        <f t="shared" si="14"/>
        <v>1.0182180325898571E-2</v>
      </c>
      <c r="L27" s="1006">
        <f t="shared" si="14"/>
        <v>4.5723415828120562E-3</v>
      </c>
      <c r="M27" s="1006">
        <f t="shared" si="14"/>
        <v>1.5668093602477118E-2</v>
      </c>
      <c r="N27" s="1006">
        <f t="shared" si="14"/>
        <v>2.5180335515684549E-2</v>
      </c>
      <c r="O27" s="1006">
        <f t="shared" si="14"/>
        <v>2.2628110857430661E-2</v>
      </c>
      <c r="P27" s="1006">
        <f t="shared" si="14"/>
        <v>2.9023851519918598E-2</v>
      </c>
      <c r="Q27" s="1006">
        <f t="shared" si="14"/>
        <v>3.0313091147743609E-2</v>
      </c>
      <c r="R27" s="1006">
        <f t="shared" si="14"/>
        <v>3.2838482925038104E-2</v>
      </c>
      <c r="S27" s="1007">
        <f t="shared" si="14"/>
        <v>2.2543407123629677E-2</v>
      </c>
      <c r="T27" s="1006">
        <f t="shared" si="14"/>
        <v>1.2914212729723928E-2</v>
      </c>
      <c r="U27" s="1006">
        <f t="shared" si="14"/>
        <v>8.5814151419392193E-3</v>
      </c>
      <c r="V27" s="1006">
        <f t="shared" si="14"/>
        <v>8.0131585685250251E-3</v>
      </c>
      <c r="W27" s="1006">
        <f t="shared" si="14"/>
        <v>8.630577055315225E-3</v>
      </c>
      <c r="X27" s="1006">
        <f t="shared" si="14"/>
        <v>8.4934420030498003E-3</v>
      </c>
      <c r="Y27" s="1006">
        <f t="shared" si="14"/>
        <v>7.7301491027170766E-3</v>
      </c>
      <c r="Z27" s="1006">
        <f t="shared" si="14"/>
        <v>6.9446663109324902E-3</v>
      </c>
      <c r="AA27" s="1006">
        <f t="shared" si="14"/>
        <v>6.7023012839417806E-3</v>
      </c>
      <c r="AB27" s="1006">
        <f t="shared" si="14"/>
        <v>6.5949786314196679E-3</v>
      </c>
      <c r="AC27" s="1006">
        <f t="shared" si="14"/>
        <v>6.8419370723198369E-3</v>
      </c>
      <c r="AD27" s="1006">
        <f t="shared" si="14"/>
        <v>6.764302704038716E-3</v>
      </c>
      <c r="AE27" s="1006">
        <f t="shared" si="14"/>
        <v>6.7975249786220715E-3</v>
      </c>
      <c r="AF27" s="1007">
        <f t="shared" si="14"/>
        <v>6.7159232896483179E-3</v>
      </c>
    </row>
    <row r="28" spans="2:33" x14ac:dyDescent="0.3">
      <c r="B28" s="35"/>
      <c r="C28" s="967"/>
      <c r="D28" s="1008"/>
      <c r="E28" s="1008"/>
      <c r="F28" s="1008"/>
      <c r="G28" s="1008"/>
      <c r="H28" s="1008"/>
      <c r="I28" s="1008"/>
      <c r="J28" s="1008"/>
      <c r="K28" s="1008"/>
      <c r="L28" s="1008"/>
      <c r="M28" s="1008"/>
      <c r="N28" s="1008"/>
      <c r="O28" s="1008"/>
      <c r="P28" s="1008"/>
      <c r="Q28" s="1008"/>
      <c r="R28" s="1008"/>
      <c r="S28" s="1008"/>
      <c r="T28" s="1008"/>
      <c r="U28" s="1008"/>
      <c r="V28" s="1008"/>
      <c r="W28" s="1008"/>
      <c r="X28" s="1008"/>
      <c r="Y28" s="1008"/>
      <c r="Z28" s="1008"/>
      <c r="AA28" s="1008"/>
      <c r="AB28" s="1008"/>
      <c r="AC28" s="1008"/>
      <c r="AD28" s="1008"/>
      <c r="AE28" s="1008"/>
      <c r="AF28" s="1008"/>
    </row>
    <row r="29" spans="2:33" x14ac:dyDescent="0.3">
      <c r="B29" s="35"/>
      <c r="C29" s="967"/>
      <c r="D29" s="1008"/>
      <c r="E29" s="1008"/>
      <c r="F29" s="1008"/>
      <c r="G29" s="1008"/>
      <c r="H29" s="1008"/>
      <c r="I29" s="1008"/>
      <c r="J29" s="1008"/>
      <c r="K29" s="1008"/>
      <c r="L29" s="1008"/>
      <c r="M29" s="1008"/>
      <c r="N29" s="1008"/>
      <c r="O29" s="1008"/>
      <c r="P29" s="1008"/>
      <c r="Q29" s="1008"/>
      <c r="R29" s="1008"/>
      <c r="S29" s="1008"/>
      <c r="T29" s="1008"/>
      <c r="U29" s="1008"/>
      <c r="V29" s="1008"/>
      <c r="W29" s="1008"/>
      <c r="X29" s="1008"/>
      <c r="Y29" s="1008"/>
      <c r="Z29" s="1008"/>
      <c r="AA29" s="1008"/>
      <c r="AB29" s="1008"/>
      <c r="AC29" s="1008"/>
      <c r="AD29" s="1008"/>
      <c r="AE29" s="1008"/>
      <c r="AF29" s="1008"/>
    </row>
    <row r="30" spans="2:33" x14ac:dyDescent="0.3">
      <c r="B30" s="35"/>
      <c r="C30" s="967"/>
      <c r="D30" s="1008"/>
      <c r="E30" s="1008"/>
      <c r="F30" s="1008"/>
      <c r="G30" s="1008"/>
      <c r="H30" s="1008"/>
      <c r="I30" s="1008"/>
      <c r="J30" s="1008"/>
      <c r="K30" s="1008"/>
      <c r="L30" s="1008"/>
      <c r="M30" s="1008"/>
      <c r="N30" s="1008"/>
      <c r="O30" s="1008"/>
      <c r="P30" s="1008"/>
      <c r="Q30" s="1008"/>
      <c r="R30" s="1008"/>
      <c r="S30" s="1008"/>
      <c r="T30" s="1008"/>
      <c r="U30" s="1008"/>
      <c r="V30" s="1008"/>
      <c r="W30" s="1008"/>
      <c r="X30" s="1008"/>
      <c r="Y30" s="1008"/>
      <c r="Z30" s="1008"/>
      <c r="AA30" s="1008"/>
      <c r="AB30" s="1008"/>
      <c r="AC30" s="1008"/>
      <c r="AD30" s="1008"/>
      <c r="AE30" s="1008"/>
      <c r="AF30" s="1008"/>
    </row>
    <row r="31" spans="2:33" x14ac:dyDescent="0.3">
      <c r="B31" s="35"/>
      <c r="C31" s="967"/>
      <c r="D31" s="1008"/>
      <c r="E31" s="1008"/>
      <c r="F31" s="1008"/>
      <c r="G31" s="1008"/>
      <c r="H31" s="1008"/>
      <c r="I31" s="1008"/>
      <c r="J31" s="1008"/>
      <c r="K31" s="1008"/>
      <c r="L31" s="1008"/>
      <c r="M31" s="1008"/>
      <c r="N31" s="1008"/>
      <c r="O31" s="1008"/>
      <c r="P31" s="1008"/>
      <c r="Q31" s="1008"/>
      <c r="R31" s="1008"/>
      <c r="S31" s="1008"/>
      <c r="T31" s="1008"/>
      <c r="U31" s="1008"/>
      <c r="V31" s="1008"/>
      <c r="W31" s="1008"/>
      <c r="X31" s="1008"/>
      <c r="Y31" s="1008"/>
      <c r="Z31" s="1008"/>
      <c r="AA31" s="1008"/>
      <c r="AB31" s="1008"/>
      <c r="AC31" s="1008"/>
      <c r="AD31" s="1008"/>
      <c r="AE31" s="1008"/>
      <c r="AF31" s="1008"/>
    </row>
    <row r="32" spans="2:33" x14ac:dyDescent="0.3">
      <c r="B32" s="35"/>
      <c r="C32" s="967"/>
      <c r="D32" s="1008"/>
      <c r="E32" s="1008"/>
      <c r="F32" s="1008"/>
      <c r="G32" s="1008"/>
      <c r="H32" s="1008"/>
      <c r="I32" s="1008"/>
      <c r="J32" s="1008"/>
      <c r="K32" s="1008"/>
      <c r="L32" s="1008"/>
      <c r="M32" s="1008"/>
      <c r="N32" s="1008"/>
      <c r="O32" s="1008"/>
      <c r="P32" s="1008"/>
      <c r="Q32" s="1008"/>
      <c r="R32" s="1008"/>
      <c r="S32" s="1008"/>
      <c r="T32" s="1008"/>
      <c r="U32" s="1008"/>
      <c r="V32" s="1008"/>
      <c r="W32" s="1008"/>
      <c r="X32" s="1008"/>
      <c r="Y32" s="1008"/>
      <c r="Z32" s="1008"/>
      <c r="AA32" s="1008"/>
      <c r="AB32" s="1008"/>
      <c r="AC32" s="1008"/>
      <c r="AD32" s="1008"/>
      <c r="AE32" s="1008"/>
      <c r="AF32" s="1008"/>
    </row>
    <row r="33" spans="2:41" x14ac:dyDescent="0.3">
      <c r="B33" s="35"/>
      <c r="C33" s="967"/>
      <c r="D33" s="1008"/>
      <c r="E33" s="1008"/>
      <c r="F33" s="1008"/>
      <c r="G33" s="1008"/>
      <c r="H33" s="1008"/>
      <c r="I33" s="1008"/>
      <c r="J33" s="1008"/>
      <c r="K33" s="1008"/>
      <c r="L33" s="1008"/>
      <c r="M33" s="1008"/>
      <c r="N33" s="1008"/>
      <c r="O33" s="1008"/>
      <c r="P33" s="1008"/>
      <c r="Q33" s="1008"/>
      <c r="R33" s="1008"/>
      <c r="S33" s="1008"/>
      <c r="T33" s="1008"/>
      <c r="U33" s="1008"/>
      <c r="V33" s="1008"/>
      <c r="W33" s="1008"/>
      <c r="X33" s="1008"/>
      <c r="Y33" s="1008"/>
      <c r="Z33" s="1008"/>
      <c r="AA33" s="1008"/>
      <c r="AB33" s="1008"/>
      <c r="AC33" s="1008"/>
      <c r="AD33" s="1008"/>
      <c r="AE33" s="1008"/>
      <c r="AF33" s="1008"/>
    </row>
    <row r="34" spans="2:41" x14ac:dyDescent="0.3">
      <c r="B34" s="1421" t="s">
        <v>1823</v>
      </c>
      <c r="C34" s="1421"/>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2:41" x14ac:dyDescent="0.3">
      <c r="B35" s="1280" t="s">
        <v>1795</v>
      </c>
      <c r="C35" s="1281"/>
      <c r="D35" s="1290" t="s">
        <v>1824</v>
      </c>
      <c r="E35" s="1291"/>
      <c r="F35" s="1291"/>
      <c r="G35" s="1291"/>
      <c r="H35" s="1291"/>
      <c r="I35" s="1291"/>
      <c r="J35" s="1291"/>
      <c r="K35" s="1291"/>
      <c r="L35" s="1291"/>
      <c r="M35" s="1291"/>
      <c r="N35" s="1291"/>
      <c r="O35" s="1291"/>
      <c r="P35" s="1291"/>
      <c r="Q35" s="1316"/>
      <c r="R35" s="1316"/>
      <c r="S35" s="1316"/>
      <c r="T35" s="1316"/>
      <c r="U35" s="1294" t="s">
        <v>1876</v>
      </c>
      <c r="V35" s="1294"/>
      <c r="W35" s="1294"/>
      <c r="X35" s="1294"/>
      <c r="Y35" s="1294"/>
      <c r="Z35" s="1294"/>
      <c r="AA35" s="1294"/>
      <c r="AB35" s="1294"/>
      <c r="AC35" s="1294"/>
      <c r="AD35" s="1294"/>
      <c r="AE35" s="1294"/>
      <c r="AF35" s="1295"/>
    </row>
    <row r="36" spans="2:41" x14ac:dyDescent="0.3">
      <c r="B36" s="1282"/>
      <c r="C36" s="1283"/>
      <c r="D36" s="163">
        <v>2018</v>
      </c>
      <c r="E36" s="1298">
        <v>2019</v>
      </c>
      <c r="F36" s="1299"/>
      <c r="G36" s="1299"/>
      <c r="H36" s="1306"/>
      <c r="I36" s="1298">
        <v>2020</v>
      </c>
      <c r="J36" s="1299"/>
      <c r="K36" s="1299"/>
      <c r="L36" s="1299"/>
      <c r="M36" s="1298">
        <v>2021</v>
      </c>
      <c r="N36" s="1299"/>
      <c r="O36" s="1299"/>
      <c r="P36" s="1299"/>
      <c r="Q36" s="1273">
        <v>2022</v>
      </c>
      <c r="R36" s="1274"/>
      <c r="S36" s="1274"/>
      <c r="T36" s="1279"/>
      <c r="U36" s="1284">
        <v>2023</v>
      </c>
      <c r="V36" s="1285"/>
      <c r="W36" s="1285"/>
      <c r="X36" s="1285"/>
      <c r="Y36" s="1287">
        <v>2024</v>
      </c>
      <c r="Z36" s="1285"/>
      <c r="AA36" s="1285"/>
      <c r="AB36" s="1286"/>
      <c r="AC36" s="1287">
        <v>2025</v>
      </c>
      <c r="AD36" s="1285"/>
      <c r="AE36" s="1285"/>
      <c r="AF36" s="1286"/>
    </row>
    <row r="37" spans="2:41" x14ac:dyDescent="0.3">
      <c r="B37" s="1296"/>
      <c r="C37" s="1297"/>
      <c r="D37" s="163" t="s">
        <v>327</v>
      </c>
      <c r="E37" s="163" t="s">
        <v>328</v>
      </c>
      <c r="F37" s="176" t="s">
        <v>329</v>
      </c>
      <c r="G37" s="176" t="s">
        <v>238</v>
      </c>
      <c r="H37" s="159" t="s">
        <v>327</v>
      </c>
      <c r="I37" s="176" t="s">
        <v>328</v>
      </c>
      <c r="J37" s="176" t="s">
        <v>329</v>
      </c>
      <c r="K37" s="176" t="s">
        <v>238</v>
      </c>
      <c r="L37" s="176" t="s">
        <v>327</v>
      </c>
      <c r="M37" s="163" t="s">
        <v>328</v>
      </c>
      <c r="N37" s="176" t="s">
        <v>329</v>
      </c>
      <c r="O37" s="176" t="s">
        <v>238</v>
      </c>
      <c r="P37" s="176" t="s">
        <v>327</v>
      </c>
      <c r="Q37" s="163" t="s">
        <v>328</v>
      </c>
      <c r="R37" s="176" t="s">
        <v>329</v>
      </c>
      <c r="S37" s="176" t="s">
        <v>238</v>
      </c>
      <c r="T37" s="159" t="s">
        <v>327</v>
      </c>
      <c r="U37" s="280" t="s">
        <v>328</v>
      </c>
      <c r="V37" s="280" t="s">
        <v>329</v>
      </c>
      <c r="W37" s="280" t="s">
        <v>238</v>
      </c>
      <c r="X37" s="280" t="s">
        <v>327</v>
      </c>
      <c r="Y37" s="348" t="s">
        <v>328</v>
      </c>
      <c r="Z37" s="228" t="s">
        <v>329</v>
      </c>
      <c r="AA37" s="280" t="s">
        <v>238</v>
      </c>
      <c r="AB37" s="278" t="s">
        <v>327</v>
      </c>
      <c r="AC37" s="373" t="s">
        <v>328</v>
      </c>
      <c r="AD37" s="280" t="s">
        <v>329</v>
      </c>
      <c r="AE37" s="280" t="s">
        <v>238</v>
      </c>
      <c r="AF37" s="278" t="s">
        <v>327</v>
      </c>
    </row>
    <row r="38" spans="2:41" x14ac:dyDescent="0.3">
      <c r="B38" s="1011" t="s">
        <v>1796</v>
      </c>
      <c r="C38" s="966" t="s">
        <v>1784</v>
      </c>
      <c r="D38" s="953">
        <f>('Haver Pivoted'!GO76+1)^4-1</f>
        <v>1.5156509117148609E-2</v>
      </c>
      <c r="E38" s="1009">
        <f>('Haver Pivoted'!GP76+1)^4-1</f>
        <v>8.3593342288621475E-3</v>
      </c>
      <c r="F38" s="1009">
        <f>('Haver Pivoted'!GQ76+1)^4-1</f>
        <v>2.4734353401225873E-2</v>
      </c>
      <c r="G38" s="1009">
        <f>('Haver Pivoted'!GR76+1)^4-1</f>
        <v>1.0490970472330163E-2</v>
      </c>
      <c r="H38" s="1009">
        <f>('Haver Pivoted'!GS76+1)^4-1</f>
        <v>1.4569048707785859E-2</v>
      </c>
      <c r="I38" s="1009">
        <f>('Haver Pivoted'!GT76+1)^4-1</f>
        <v>1.4662498774455912E-2</v>
      </c>
      <c r="J38" s="1009">
        <f>('Haver Pivoted'!GU76+1)^4-1</f>
        <v>-1.794085945788193E-2</v>
      </c>
      <c r="K38" s="1009">
        <f>('Haver Pivoted'!GV76+1)^4-1</f>
        <v>3.3775526155126689E-2</v>
      </c>
      <c r="L38" s="1009">
        <f>('Haver Pivoted'!GW76+1)^4-1</f>
        <v>1.6442937470855457E-2</v>
      </c>
      <c r="M38" s="1009">
        <f>('Haver Pivoted'!GX76+1)^4-1</f>
        <v>4.5025943450949013E-2</v>
      </c>
      <c r="N38" s="1009">
        <f>('Haver Pivoted'!GY76+1)^4-1</f>
        <v>6.444180274366329E-2</v>
      </c>
      <c r="O38" s="1009">
        <f>('Haver Pivoted'!GZ76+1)^4-1</f>
        <v>5.5998846943190017E-2</v>
      </c>
      <c r="P38" s="1009">
        <f>('Haver Pivoted'!HA76+1)^4-1</f>
        <v>6.1859650545573519E-2</v>
      </c>
      <c r="Q38" s="1009">
        <f>('Haver Pivoted'!HB76+1)^4-1</f>
        <v>7.4784916271317448E-2</v>
      </c>
      <c r="R38" s="1009">
        <f>('Haver Pivoted'!HC76+1)^4-1</f>
        <v>7.2922192171477107E-2</v>
      </c>
      <c r="S38" s="954">
        <f>('Haver Pivoted'!HD76+1)^4-1</f>
        <v>4.3177876601944165E-2</v>
      </c>
      <c r="T38" s="955">
        <f>('Haver Pivoted'!HE76+1)^4-1</f>
        <v>3.6959130883695179E-2</v>
      </c>
      <c r="U38" s="970">
        <f t="shared" ref="U38:AF38" si="15">(U61/T61)^4-1</f>
        <v>3.5724460314211282E-2</v>
      </c>
      <c r="V38" s="970">
        <f t="shared" si="15"/>
        <v>3.3692799617050628E-2</v>
      </c>
      <c r="W38" s="970">
        <f t="shared" si="15"/>
        <v>3.3167790258204821E-2</v>
      </c>
      <c r="X38" s="970">
        <f t="shared" si="15"/>
        <v>2.9707222134434552E-2</v>
      </c>
      <c r="Y38" s="970">
        <f t="shared" si="15"/>
        <v>2.6454849931970781E-2</v>
      </c>
      <c r="Z38" s="970">
        <f t="shared" si="15"/>
        <v>2.4178630417615032E-2</v>
      </c>
      <c r="AA38" s="970">
        <f t="shared" si="15"/>
        <v>2.3052401549803703E-2</v>
      </c>
      <c r="AB38" s="970">
        <f t="shared" si="15"/>
        <v>2.2407286089961342E-2</v>
      </c>
      <c r="AC38" s="970">
        <f t="shared" si="15"/>
        <v>2.2473232090692186E-2</v>
      </c>
      <c r="AD38" s="970">
        <f t="shared" si="15"/>
        <v>2.2071462401670683E-2</v>
      </c>
      <c r="AE38" s="970">
        <f t="shared" si="15"/>
        <v>2.1752174739111618E-2</v>
      </c>
      <c r="AF38" s="1010">
        <f t="shared" si="15"/>
        <v>2.1591374086621817E-2</v>
      </c>
    </row>
    <row r="39" spans="2:41" x14ac:dyDescent="0.3">
      <c r="B39" s="47" t="s">
        <v>1797</v>
      </c>
      <c r="C39" s="967" t="s">
        <v>1785</v>
      </c>
      <c r="D39" s="971">
        <f>('Haver Pivoted'!GO77+1)^4-1</f>
        <v>2.9652502701153827E-2</v>
      </c>
      <c r="E39" s="1008">
        <f>('Haver Pivoted'!GP77+1)^4-1</f>
        <v>4.3357912415273203E-2</v>
      </c>
      <c r="F39" s="1008">
        <f>('Haver Pivoted'!GQ77+1)^4-1</f>
        <v>-2.634393397263235E-2</v>
      </c>
      <c r="G39" s="1008">
        <f>('Haver Pivoted'!GR77+1)^4-1</f>
        <v>1.0018821110834297E-2</v>
      </c>
      <c r="H39" s="1008">
        <f>('Haver Pivoted'!GS77+1)^4-1</f>
        <v>1.6245763277308534E-2</v>
      </c>
      <c r="I39" s="1008">
        <f>('Haver Pivoted'!GT77+1)^4-1</f>
        <v>1.3591255249431944E-2</v>
      </c>
      <c r="J39" s="1008">
        <f>('Haver Pivoted'!GU77+1)^4-1</f>
        <v>3.3104511883148557E-3</v>
      </c>
      <c r="K39" s="1008">
        <f>('Haver Pivoted'!GV77+1)^4-1</f>
        <v>2.5959727144998501E-2</v>
      </c>
      <c r="L39" s="1008">
        <f>('Haver Pivoted'!GW77+1)^4-1</f>
        <v>2.4447407360365325E-2</v>
      </c>
      <c r="M39" s="1008">
        <f>('Haver Pivoted'!GX77+1)^4-1</f>
        <v>4.0827649049088865E-2</v>
      </c>
      <c r="N39" s="1008">
        <f>('Haver Pivoted'!GY77+1)^4-1</f>
        <v>4.1247362410053112E-2</v>
      </c>
      <c r="O39" s="1008">
        <f>('Haver Pivoted'!GZ77+1)^4-1</f>
        <v>4.4017858095279694E-2</v>
      </c>
      <c r="P39" s="1008">
        <f>('Haver Pivoted'!HA77+1)^4-1</f>
        <v>4.3432299825096221E-2</v>
      </c>
      <c r="Q39" s="1008">
        <f>('Haver Pivoted'!HB77+1)^4-1</f>
        <v>5.6798579453040565E-2</v>
      </c>
      <c r="R39" s="1008">
        <f>('Haver Pivoted'!HC77+1)^4-1</f>
        <v>5.9959109255099508E-2</v>
      </c>
      <c r="S39" s="952">
        <f>('Haver Pivoted'!HD77+1)^4-1</f>
        <v>4.8205722331254197E-2</v>
      </c>
      <c r="T39" s="956">
        <f>('Haver Pivoted'!HE77+1)^4-1</f>
        <v>3.084492349222212E-2</v>
      </c>
      <c r="U39" s="1008">
        <f t="shared" ref="U39:AF39" si="16">(U62/T62)^4-1</f>
        <v>2.5929771595060602E-2</v>
      </c>
      <c r="V39" s="1008">
        <f t="shared" si="16"/>
        <v>2.3505953506363975E-2</v>
      </c>
      <c r="W39" s="1008">
        <f t="shared" si="16"/>
        <v>2.5343185973087934E-2</v>
      </c>
      <c r="X39" s="1008">
        <f t="shared" si="16"/>
        <v>2.5512101094298911E-2</v>
      </c>
      <c r="Y39" s="1008">
        <f t="shared" si="16"/>
        <v>2.940897202642212E-2</v>
      </c>
      <c r="Z39" s="1008">
        <f t="shared" si="16"/>
        <v>2.823164052632654E-2</v>
      </c>
      <c r="AA39" s="1008">
        <f t="shared" si="16"/>
        <v>2.7484808362226332E-2</v>
      </c>
      <c r="AB39" s="1008">
        <f t="shared" si="16"/>
        <v>2.6738284169484539E-2</v>
      </c>
      <c r="AC39" s="1008">
        <f t="shared" si="16"/>
        <v>2.4037894596453224E-2</v>
      </c>
      <c r="AD39" s="1008">
        <f t="shared" si="16"/>
        <v>2.4492235467838519E-2</v>
      </c>
      <c r="AE39" s="1008">
        <f t="shared" si="16"/>
        <v>2.4419305134427693E-2</v>
      </c>
      <c r="AF39" s="972">
        <f t="shared" si="16"/>
        <v>2.4121029556380291E-2</v>
      </c>
    </row>
    <row r="40" spans="2:41" x14ac:dyDescent="0.3">
      <c r="B40" s="47" t="s">
        <v>1798</v>
      </c>
      <c r="C40" s="967" t="s">
        <v>1786</v>
      </c>
      <c r="D40" s="971">
        <f>('Haver Pivoted'!GO78+1)^4-1</f>
        <v>2.0739486303195998E-2</v>
      </c>
      <c r="E40" s="1008">
        <f>('Haver Pivoted'!GP78+1)^4-1</f>
        <v>-1.0909955372547464E-2</v>
      </c>
      <c r="F40" s="1008">
        <f>('Haver Pivoted'!GQ78+1)^4-1</f>
        <v>2.9915559028399707E-2</v>
      </c>
      <c r="G40" s="1008">
        <f>('Haver Pivoted'!GR78+1)^4-1</f>
        <v>1.0527559706478895E-2</v>
      </c>
      <c r="H40" s="1008">
        <f>('Haver Pivoted'!GS78+1)^4-1</f>
        <v>1.4919704890896002E-2</v>
      </c>
      <c r="I40" s="1008">
        <f>('Haver Pivoted'!GT78+1)^4-1</f>
        <v>4.3158369252632278E-2</v>
      </c>
      <c r="J40" s="1008">
        <f>('Haver Pivoted'!GU78+1)^4-1</f>
        <v>-2.2930962354547058E-3</v>
      </c>
      <c r="K40" s="1008">
        <f>('Haver Pivoted'!GV78+1)^4-1</f>
        <v>3.587837095953339E-2</v>
      </c>
      <c r="L40" s="1008">
        <f>('Haver Pivoted'!GW78+1)^4-1</f>
        <v>4.5534894387470937E-2</v>
      </c>
      <c r="M40" s="1008">
        <f>('Haver Pivoted'!GX78+1)^4-1</f>
        <v>8.7714323909891423E-2</v>
      </c>
      <c r="N40" s="1008">
        <f>('Haver Pivoted'!GY78+1)^4-1</f>
        <v>8.4888593948209357E-2</v>
      </c>
      <c r="O40" s="1008">
        <f>('Haver Pivoted'!GZ78+1)^4-1</f>
        <v>6.9703587118332688E-2</v>
      </c>
      <c r="P40" s="1008">
        <f>('Haver Pivoted'!HA78+1)^4-1</f>
        <v>9.0463399615994478E-2</v>
      </c>
      <c r="Q40" s="1008">
        <f>('Haver Pivoted'!HB78+1)^4-1</f>
        <v>0.10558682780244433</v>
      </c>
      <c r="R40" s="1008">
        <f>('Haver Pivoted'!HC78+1)^4-1</f>
        <v>0.14979890704557142</v>
      </c>
      <c r="S40" s="952">
        <f>('Haver Pivoted'!HD78+1)^4-1</f>
        <v>2.9055945911607095E-2</v>
      </c>
      <c r="T40" s="956">
        <f>('Haver Pivoted'!HE78+1)^4-1</f>
        <v>3.7674447238076336E-2</v>
      </c>
      <c r="U40" s="1008">
        <f t="shared" ref="U40:AF40" si="17">(U63/T63)^4-1</f>
        <v>3.4770037870923476E-2</v>
      </c>
      <c r="V40" s="1008">
        <f t="shared" si="17"/>
        <v>3.2439960780993538E-2</v>
      </c>
      <c r="W40" s="1008">
        <f t="shared" si="17"/>
        <v>3.4971806389749727E-2</v>
      </c>
      <c r="X40" s="1008">
        <f t="shared" si="17"/>
        <v>3.4409055377128128E-2</v>
      </c>
      <c r="Y40" s="1008">
        <f t="shared" si="17"/>
        <v>3.1280978879036248E-2</v>
      </c>
      <c r="Z40" s="1008">
        <f t="shared" si="17"/>
        <v>2.8069377631034564E-2</v>
      </c>
      <c r="AA40" s="1008">
        <f t="shared" si="17"/>
        <v>2.7079936500734814E-2</v>
      </c>
      <c r="AB40" s="1008">
        <f t="shared" si="17"/>
        <v>2.6642026237504224E-2</v>
      </c>
      <c r="AC40" s="1008">
        <f t="shared" si="17"/>
        <v>2.7649904239910983E-2</v>
      </c>
      <c r="AD40" s="1008">
        <f t="shared" si="17"/>
        <v>2.7332985680263322E-2</v>
      </c>
      <c r="AE40" s="1008">
        <f t="shared" si="17"/>
        <v>2.7468596479684804E-2</v>
      </c>
      <c r="AF40" s="972">
        <f t="shared" si="17"/>
        <v>2.7135528596684111E-2</v>
      </c>
    </row>
    <row r="41" spans="2:41" x14ac:dyDescent="0.3">
      <c r="B41" s="47" t="s">
        <v>1799</v>
      </c>
      <c r="C41" s="967" t="s">
        <v>1787</v>
      </c>
      <c r="D41" s="971">
        <f>('Haver Pivoted'!GO79+1)^4-1</f>
        <v>1.6036274889288604E-2</v>
      </c>
      <c r="E41" s="1008">
        <f>('Haver Pivoted'!GP79+1)^4-1</f>
        <v>-1.6750426853228473E-2</v>
      </c>
      <c r="F41" s="1008">
        <f>('Haver Pivoted'!GQ79+1)^4-1</f>
        <v>2.5813818283004775E-2</v>
      </c>
      <c r="G41" s="1008">
        <f>('Haver Pivoted'!GR79+1)^4-1</f>
        <v>8.6124156242581851E-3</v>
      </c>
      <c r="H41" s="1008">
        <f>('Haver Pivoted'!GS79+1)^4-1</f>
        <v>1.6996215944869331E-2</v>
      </c>
      <c r="I41" s="1008">
        <f>('Haver Pivoted'!GT79+1)^4-1</f>
        <v>5.0660572456327158E-2</v>
      </c>
      <c r="J41" s="1008">
        <f>('Haver Pivoted'!GU79+1)^4-1</f>
        <v>-1.0613393340251909E-3</v>
      </c>
      <c r="K41" s="1008">
        <f>('Haver Pivoted'!GV79+1)^4-1</f>
        <v>3.4596703938156059E-2</v>
      </c>
      <c r="L41" s="1008">
        <f>('Haver Pivoted'!GW79+1)^4-1</f>
        <v>5.1547958936444926E-2</v>
      </c>
      <c r="M41" s="1008">
        <f>('Haver Pivoted'!GX79+1)^4-1</f>
        <v>9.2834286401326738E-2</v>
      </c>
      <c r="N41" s="1008">
        <f>('Haver Pivoted'!GY79+1)^4-1</f>
        <v>8.057551462066237E-2</v>
      </c>
      <c r="O41" s="1008">
        <f>('Haver Pivoted'!GZ79+1)^4-1</f>
        <v>6.4680375979367932E-2</v>
      </c>
      <c r="P41" s="1008">
        <f>('Haver Pivoted'!HA79+1)^4-1</f>
        <v>8.4136934840179034E-2</v>
      </c>
      <c r="Q41" s="1008">
        <f>('Haver Pivoted'!HB79+1)^4-1</f>
        <v>0.10120576467409093</v>
      </c>
      <c r="R41" s="1008">
        <f>('Haver Pivoted'!HC79+1)^4-1</f>
        <v>0.15221841372862355</v>
      </c>
      <c r="S41" s="952">
        <f>('Haver Pivoted'!HD79+1)^4-1</f>
        <v>1.6422651906601304E-2</v>
      </c>
      <c r="T41" s="956">
        <f>('Haver Pivoted'!HE79+1)^4-1</f>
        <v>3.4553492951127307E-2</v>
      </c>
      <c r="U41" s="1008">
        <f t="shared" ref="U41:AF42" si="18">U40</f>
        <v>3.4770037870923476E-2</v>
      </c>
      <c r="V41" s="1008">
        <f t="shared" si="18"/>
        <v>3.2439960780993538E-2</v>
      </c>
      <c r="W41" s="1008">
        <f t="shared" si="18"/>
        <v>3.4971806389749727E-2</v>
      </c>
      <c r="X41" s="1008">
        <f t="shared" si="18"/>
        <v>3.4409055377128128E-2</v>
      </c>
      <c r="Y41" s="1008">
        <f t="shared" si="18"/>
        <v>3.1280978879036248E-2</v>
      </c>
      <c r="Z41" s="1008">
        <f t="shared" si="18"/>
        <v>2.8069377631034564E-2</v>
      </c>
      <c r="AA41" s="1008">
        <f t="shared" si="18"/>
        <v>2.7079936500734814E-2</v>
      </c>
      <c r="AB41" s="1008">
        <f t="shared" si="18"/>
        <v>2.6642026237504224E-2</v>
      </c>
      <c r="AC41" s="1008">
        <f t="shared" si="18"/>
        <v>2.7649904239910983E-2</v>
      </c>
      <c r="AD41" s="1008">
        <f t="shared" si="18"/>
        <v>2.7332985680263322E-2</v>
      </c>
      <c r="AE41" s="1008">
        <f t="shared" si="18"/>
        <v>2.7468596479684804E-2</v>
      </c>
      <c r="AF41" s="972">
        <f t="shared" si="18"/>
        <v>2.7135528596684111E-2</v>
      </c>
    </row>
    <row r="42" spans="2:41" x14ac:dyDescent="0.3">
      <c r="B42" s="169" t="s">
        <v>1800</v>
      </c>
      <c r="C42" s="968" t="s">
        <v>1788</v>
      </c>
      <c r="D42" s="973">
        <f>('Haver Pivoted'!GO80+1)^4-1</f>
        <v>4.1912016313215839E-2</v>
      </c>
      <c r="E42" s="974">
        <f>('Haver Pivoted'!GP80+1)^4-1</f>
        <v>1.5721372171975556E-2</v>
      </c>
      <c r="F42" s="974">
        <f>('Haver Pivoted'!GQ80+1)^4-1</f>
        <v>4.8037769815769016E-2</v>
      </c>
      <c r="G42" s="974">
        <f>('Haver Pivoted'!GR80+1)^4-1</f>
        <v>1.9083730667159404E-2</v>
      </c>
      <c r="H42" s="974">
        <f>('Haver Pivoted'!GS80+1)^4-1</f>
        <v>5.8979339636944239E-3</v>
      </c>
      <c r="I42" s="974">
        <f>('Haver Pivoted'!GT80+1)^4-1</f>
        <v>1.0418465412080913E-2</v>
      </c>
      <c r="J42" s="974">
        <f>('Haver Pivoted'!GU80+1)^4-1</f>
        <v>-7.6555980249765065E-3</v>
      </c>
      <c r="K42" s="974">
        <f>('Haver Pivoted'!GV80+1)^4-1</f>
        <v>4.135501545294451E-2</v>
      </c>
      <c r="L42" s="974">
        <f>('Haver Pivoted'!GW80+1)^4-1</f>
        <v>1.8415186976738607E-2</v>
      </c>
      <c r="M42" s="974">
        <f>('Haver Pivoted'!GX80+1)^4-1</f>
        <v>6.4160755006020143E-2</v>
      </c>
      <c r="N42" s="974">
        <f>('Haver Pivoted'!GY80+1)^4-1</f>
        <v>0.10458990215743946</v>
      </c>
      <c r="O42" s="974">
        <f>('Haver Pivoted'!GZ80+1)^4-1</f>
        <v>9.3631239224950313E-2</v>
      </c>
      <c r="P42" s="974">
        <f>('Haver Pivoted'!HA80+1)^4-1</f>
        <v>0.12124821634027616</v>
      </c>
      <c r="Q42" s="974">
        <f>('Haver Pivoted'!HB80+1)^4-1</f>
        <v>0.12687792670398412</v>
      </c>
      <c r="R42" s="974">
        <f>('Haver Pivoted'!HC80+1)^4-1</f>
        <v>0.13796693794697101</v>
      </c>
      <c r="S42" s="951">
        <f>('Haver Pivoted'!HD80+1)^4-1</f>
        <v>9.3268944702830758E-2</v>
      </c>
      <c r="T42" s="957">
        <f>('Haver Pivoted'!HE80+1)^4-1</f>
        <v>5.2666155244963875E-2</v>
      </c>
      <c r="U42" s="974">
        <f t="shared" si="18"/>
        <v>3.4770037870923476E-2</v>
      </c>
      <c r="V42" s="974">
        <f t="shared" si="18"/>
        <v>3.2439960780993538E-2</v>
      </c>
      <c r="W42" s="974">
        <f t="shared" si="18"/>
        <v>3.4971806389749727E-2</v>
      </c>
      <c r="X42" s="974">
        <f t="shared" si="18"/>
        <v>3.4409055377128128E-2</v>
      </c>
      <c r="Y42" s="974">
        <f t="shared" si="18"/>
        <v>3.1280978879036248E-2</v>
      </c>
      <c r="Z42" s="974">
        <f t="shared" si="18"/>
        <v>2.8069377631034564E-2</v>
      </c>
      <c r="AA42" s="974">
        <f t="shared" si="18"/>
        <v>2.7079936500734814E-2</v>
      </c>
      <c r="AB42" s="974">
        <f t="shared" si="18"/>
        <v>2.6642026237504224E-2</v>
      </c>
      <c r="AC42" s="974">
        <f t="shared" si="18"/>
        <v>2.7649904239910983E-2</v>
      </c>
      <c r="AD42" s="974">
        <f t="shared" si="18"/>
        <v>2.7332985680263322E-2</v>
      </c>
      <c r="AE42" s="974">
        <f t="shared" si="18"/>
        <v>2.7468596479684804E-2</v>
      </c>
      <c r="AF42" s="975">
        <f t="shared" si="18"/>
        <v>2.7135528596684111E-2</v>
      </c>
    </row>
    <row r="43" spans="2:41" x14ac:dyDescent="0.3">
      <c r="B43" s="35"/>
      <c r="C43" s="967"/>
      <c r="D43" s="1008"/>
      <c r="E43" s="1008"/>
      <c r="F43" s="1008"/>
      <c r="G43" s="1008"/>
      <c r="H43" s="1008"/>
      <c r="I43" s="1008"/>
      <c r="J43" s="1008"/>
      <c r="K43" s="1008"/>
      <c r="L43" s="1008"/>
      <c r="M43" s="1008"/>
      <c r="N43" s="1008"/>
      <c r="O43" s="1008"/>
      <c r="P43" s="1008"/>
      <c r="Q43" s="1008"/>
      <c r="R43" s="1008"/>
      <c r="S43" s="1008"/>
      <c r="T43" s="1008"/>
      <c r="U43" s="1008"/>
      <c r="V43" s="1008"/>
      <c r="W43" s="1008"/>
      <c r="X43" s="1008"/>
      <c r="Y43" s="1008"/>
      <c r="Z43" s="1008"/>
      <c r="AA43" s="1008"/>
      <c r="AB43" s="1008"/>
      <c r="AC43" s="1008"/>
      <c r="AD43" s="1008"/>
      <c r="AE43" s="1008"/>
      <c r="AF43" s="1008"/>
    </row>
    <row r="44" spans="2:41" ht="14.55" customHeight="1" x14ac:dyDescent="0.3">
      <c r="B44" s="1371" t="s">
        <v>1825</v>
      </c>
      <c r="C44" s="1371"/>
      <c r="D44" s="1371"/>
      <c r="E44" s="1371"/>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2:41" ht="30" customHeight="1" x14ac:dyDescent="0.3">
      <c r="B45" s="993" t="s">
        <v>1801</v>
      </c>
      <c r="C45" s="948"/>
      <c r="D45" s="157">
        <v>2018</v>
      </c>
      <c r="E45" s="1273">
        <v>2019</v>
      </c>
      <c r="F45" s="1274"/>
      <c r="G45" s="1274"/>
      <c r="H45" s="1279"/>
      <c r="I45" s="1273">
        <v>2020</v>
      </c>
      <c r="J45" s="1274"/>
      <c r="K45" s="1274"/>
      <c r="L45" s="1274"/>
      <c r="M45" s="1273">
        <v>2021</v>
      </c>
      <c r="N45" s="1274"/>
      <c r="O45" s="1274"/>
      <c r="P45" s="1274"/>
      <c r="Q45" s="1288">
        <v>2022</v>
      </c>
      <c r="R45" s="1289"/>
      <c r="S45" s="208"/>
      <c r="T45" s="221"/>
      <c r="U45" s="1284">
        <v>2023</v>
      </c>
      <c r="V45" s="1285"/>
      <c r="W45" s="1285"/>
      <c r="X45" s="1285"/>
      <c r="Y45" s="1287">
        <v>2024</v>
      </c>
      <c r="Z45" s="1285"/>
      <c r="AA45" s="1285"/>
      <c r="AB45" s="1286"/>
      <c r="AC45" s="1287">
        <v>2025</v>
      </c>
      <c r="AD45" s="1285"/>
      <c r="AE45" s="1285"/>
      <c r="AF45" s="1286"/>
    </row>
    <row r="46" spans="2:41" x14ac:dyDescent="0.3">
      <c r="B46" s="976"/>
      <c r="C46" s="21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47" t="s">
        <v>328</v>
      </c>
      <c r="V46" s="247" t="s">
        <v>329</v>
      </c>
      <c r="W46" s="247" t="s">
        <v>238</v>
      </c>
      <c r="X46" s="247" t="s">
        <v>327</v>
      </c>
      <c r="Y46" s="246" t="s">
        <v>328</v>
      </c>
      <c r="Z46" s="242" t="s">
        <v>329</v>
      </c>
      <c r="AA46" s="247" t="s">
        <v>238</v>
      </c>
      <c r="AB46" s="248" t="s">
        <v>327</v>
      </c>
      <c r="AC46" s="249" t="s">
        <v>328</v>
      </c>
      <c r="AD46" s="247" t="s">
        <v>329</v>
      </c>
      <c r="AE46" s="247" t="s">
        <v>238</v>
      </c>
      <c r="AF46" s="248" t="s">
        <v>327</v>
      </c>
    </row>
    <row r="47" spans="2:41" x14ac:dyDescent="0.3">
      <c r="B47" s="976"/>
      <c r="C47" s="213"/>
      <c r="D47" s="622"/>
      <c r="E47" s="623"/>
      <c r="F47" s="623"/>
      <c r="G47" s="623"/>
      <c r="H47" s="623"/>
      <c r="I47" s="623"/>
      <c r="J47" s="623"/>
      <c r="K47" s="623"/>
      <c r="L47" s="623"/>
      <c r="M47" s="623"/>
      <c r="N47" s="623"/>
      <c r="O47" s="623"/>
      <c r="P47" s="623"/>
      <c r="Q47" s="623"/>
      <c r="R47" s="623"/>
      <c r="S47" s="623"/>
      <c r="T47" s="621"/>
      <c r="U47" s="280"/>
      <c r="V47" s="280"/>
      <c r="W47" s="280"/>
      <c r="X47" s="280"/>
      <c r="Y47" s="280"/>
      <c r="Z47" s="228"/>
      <c r="AA47" s="280"/>
      <c r="AB47" s="280"/>
      <c r="AC47" s="280"/>
      <c r="AD47" s="280"/>
      <c r="AE47" s="280"/>
      <c r="AF47" s="278"/>
    </row>
    <row r="48" spans="2:41" ht="26.25" customHeight="1" x14ac:dyDescent="0.3">
      <c r="B48" s="977" t="s">
        <v>1802</v>
      </c>
      <c r="C48" s="35" t="s">
        <v>1805</v>
      </c>
      <c r="D48" s="782"/>
      <c r="E48" s="960"/>
      <c r="F48" s="960"/>
      <c r="G48" s="960"/>
      <c r="H48" s="960"/>
      <c r="I48" s="960"/>
      <c r="J48" s="960"/>
      <c r="K48" s="960"/>
      <c r="L48" s="960"/>
      <c r="M48" s="960"/>
      <c r="N48" s="960"/>
      <c r="O48" s="960"/>
      <c r="P48" s="960"/>
      <c r="Q48" s="960"/>
      <c r="R48" s="960"/>
      <c r="S48" s="961">
        <v>17251.3</v>
      </c>
      <c r="T48" s="962">
        <v>17488.099999999999</v>
      </c>
      <c r="U48" s="980">
        <v>17692.3</v>
      </c>
      <c r="V48" s="980">
        <v>17892.599999999999</v>
      </c>
      <c r="W48" s="980">
        <v>18086.3</v>
      </c>
      <c r="X48" s="980">
        <v>18268.2</v>
      </c>
      <c r="Y48" s="980">
        <v>18446.3</v>
      </c>
      <c r="Z48" s="981">
        <v>18612.400000000001</v>
      </c>
      <c r="AA48" s="981">
        <v>18774.5</v>
      </c>
      <c r="AB48" s="981">
        <v>18946.900000000001</v>
      </c>
      <c r="AC48" s="981">
        <v>19117.900000000001</v>
      </c>
      <c r="AD48" s="981">
        <v>19292.7</v>
      </c>
      <c r="AE48" s="981">
        <v>19460.400000000001</v>
      </c>
      <c r="AF48" s="982">
        <v>19646.400000000001</v>
      </c>
      <c r="AG48" s="981"/>
      <c r="AH48" s="981"/>
      <c r="AI48" s="981"/>
      <c r="AJ48" s="981"/>
      <c r="AK48" s="981"/>
      <c r="AL48" s="981"/>
      <c r="AM48" s="981"/>
      <c r="AN48" s="981"/>
      <c r="AO48" s="981"/>
    </row>
    <row r="49" spans="2:48" ht="28.5" customHeight="1" x14ac:dyDescent="0.3">
      <c r="B49" s="450" t="s">
        <v>1910</v>
      </c>
      <c r="C49" s="213"/>
      <c r="D49" s="209"/>
      <c r="E49" s="209"/>
      <c r="F49" s="209"/>
      <c r="G49" s="209"/>
      <c r="H49" s="209"/>
      <c r="I49" s="209"/>
      <c r="J49" s="209"/>
      <c r="K49" s="209"/>
      <c r="L49" s="209"/>
      <c r="M49" s="209"/>
      <c r="N49" s="209"/>
      <c r="O49" s="209"/>
      <c r="P49" s="209"/>
      <c r="Q49" s="209"/>
      <c r="R49" s="209"/>
      <c r="S49" s="949">
        <v>17517.099999999999</v>
      </c>
      <c r="T49" s="949">
        <v>17851.099999999999</v>
      </c>
      <c r="U49" s="949">
        <v>18063.900000000001</v>
      </c>
      <c r="V49" s="949">
        <v>18252.3</v>
      </c>
      <c r="W49" s="949">
        <v>18452.8</v>
      </c>
      <c r="X49" s="949">
        <v>18649.400000000001</v>
      </c>
      <c r="Y49" s="949">
        <v>18836.5</v>
      </c>
      <c r="Z49" s="949">
        <v>19019.400000000001</v>
      </c>
      <c r="AA49" s="949">
        <v>19200.900000000001</v>
      </c>
      <c r="AB49" s="949">
        <v>19391.900000000001</v>
      </c>
      <c r="AC49" s="949">
        <v>19588.599999999999</v>
      </c>
      <c r="AD49" s="949">
        <v>19779.599999999999</v>
      </c>
      <c r="AE49" s="949">
        <v>19973.5</v>
      </c>
      <c r="AF49" s="949">
        <v>20163.8</v>
      </c>
    </row>
    <row r="50" spans="2:48" ht="26.25" customHeight="1" x14ac:dyDescent="0.3">
      <c r="B50" s="977" t="s">
        <v>1803</v>
      </c>
      <c r="C50" s="35" t="s">
        <v>1806</v>
      </c>
      <c r="D50" s="47"/>
      <c r="E50" s="35"/>
      <c r="F50" s="35"/>
      <c r="G50" s="35"/>
      <c r="H50" s="35"/>
      <c r="I50" s="35"/>
      <c r="J50" s="35"/>
      <c r="K50" s="35"/>
      <c r="L50" s="35"/>
      <c r="M50" s="35"/>
      <c r="N50" s="35"/>
      <c r="O50" s="35"/>
      <c r="P50" s="35"/>
      <c r="Q50" s="35"/>
      <c r="R50" s="35"/>
      <c r="S50" s="179">
        <v>1607.9</v>
      </c>
      <c r="T50" s="963">
        <v>1622.9</v>
      </c>
      <c r="U50" s="983">
        <v>1639</v>
      </c>
      <c r="V50" s="983">
        <v>1653.9</v>
      </c>
      <c r="W50" s="983">
        <v>1667.4</v>
      </c>
      <c r="X50" s="983">
        <v>1679.6</v>
      </c>
      <c r="Y50" s="983">
        <v>1693.3</v>
      </c>
      <c r="Z50" s="984">
        <v>1706.4</v>
      </c>
      <c r="AA50" s="984">
        <v>1719.6</v>
      </c>
      <c r="AB50" s="984">
        <v>1732.8</v>
      </c>
      <c r="AC50" s="984">
        <v>1743.7</v>
      </c>
      <c r="AD50" s="984">
        <v>1755</v>
      </c>
      <c r="AE50" s="984">
        <v>1766.6</v>
      </c>
      <c r="AF50" s="985">
        <v>1778.5</v>
      </c>
      <c r="AG50" s="984"/>
      <c r="AH50" s="984"/>
      <c r="AI50" s="984"/>
      <c r="AJ50" s="984"/>
      <c r="AK50" s="984"/>
      <c r="AL50" s="984"/>
      <c r="AM50" s="984"/>
      <c r="AN50" s="984"/>
      <c r="AO50" s="984"/>
    </row>
    <row r="51" spans="2:48" ht="26.25" customHeight="1" x14ac:dyDescent="0.3">
      <c r="B51" s="977" t="s">
        <v>1911</v>
      </c>
      <c r="C51" s="35"/>
      <c r="D51" s="47"/>
      <c r="E51" s="35"/>
      <c r="F51" s="35"/>
      <c r="G51" s="35"/>
      <c r="H51" s="35"/>
      <c r="I51" s="35"/>
      <c r="J51" s="35"/>
      <c r="K51" s="35"/>
      <c r="L51" s="35"/>
      <c r="M51" s="35"/>
      <c r="N51" s="35"/>
      <c r="O51" s="35"/>
      <c r="P51" s="35"/>
      <c r="Q51" s="35"/>
      <c r="R51" s="35"/>
      <c r="S51" s="949">
        <v>1656.9</v>
      </c>
      <c r="T51" s="949">
        <v>1665.8</v>
      </c>
      <c r="U51" s="949">
        <v>1683.2</v>
      </c>
      <c r="V51" s="949">
        <v>1699</v>
      </c>
      <c r="W51" s="949">
        <v>1721.1</v>
      </c>
      <c r="X51" s="949">
        <v>1740.7</v>
      </c>
      <c r="Y51" s="949">
        <v>1758.2</v>
      </c>
      <c r="Z51" s="949">
        <v>1774.2</v>
      </c>
      <c r="AA51" s="949">
        <v>1790.4</v>
      </c>
      <c r="AB51" s="949">
        <v>1805.5</v>
      </c>
      <c r="AC51" s="949">
        <v>1819</v>
      </c>
      <c r="AD51" s="949">
        <v>1832.8</v>
      </c>
      <c r="AE51" s="949">
        <v>1846.8</v>
      </c>
      <c r="AF51" s="949">
        <v>1860.9</v>
      </c>
      <c r="AG51" s="981"/>
      <c r="AH51" s="981"/>
      <c r="AI51" s="981"/>
      <c r="AJ51" s="981"/>
      <c r="AK51" s="981"/>
      <c r="AL51" s="981"/>
      <c r="AM51" s="981"/>
      <c r="AN51" s="981"/>
      <c r="AO51" s="981"/>
    </row>
    <row r="52" spans="2:48" ht="26.25" customHeight="1" x14ac:dyDescent="0.3">
      <c r="B52" s="977" t="s">
        <v>1804</v>
      </c>
      <c r="C52" s="35" t="s">
        <v>1807</v>
      </c>
      <c r="D52" s="47"/>
      <c r="E52" s="35"/>
      <c r="F52" s="35"/>
      <c r="G52" s="35"/>
      <c r="H52" s="35"/>
      <c r="I52" s="35"/>
      <c r="J52" s="35"/>
      <c r="K52" s="35"/>
      <c r="L52" s="35"/>
      <c r="M52" s="35"/>
      <c r="N52" s="35"/>
      <c r="O52" s="35"/>
      <c r="P52" s="35"/>
      <c r="Q52" s="35"/>
      <c r="R52" s="35"/>
      <c r="S52" s="179">
        <v>2737.7</v>
      </c>
      <c r="T52" s="963">
        <v>2776</v>
      </c>
      <c r="U52" s="983">
        <v>2809.9</v>
      </c>
      <c r="V52" s="983">
        <v>2839.2</v>
      </c>
      <c r="W52" s="983">
        <v>2865.7</v>
      </c>
      <c r="X52" s="983">
        <v>2891.3</v>
      </c>
      <c r="Y52" s="983">
        <v>2916.4</v>
      </c>
      <c r="Z52" s="984">
        <v>2941.4</v>
      </c>
      <c r="AA52" s="984">
        <v>2967.1</v>
      </c>
      <c r="AB52" s="984">
        <v>2993.7</v>
      </c>
      <c r="AC52" s="984">
        <v>3022.3</v>
      </c>
      <c r="AD52" s="984">
        <v>3052</v>
      </c>
      <c r="AE52" s="984">
        <v>3082.6</v>
      </c>
      <c r="AF52" s="985">
        <v>3113.5</v>
      </c>
      <c r="AG52" s="984"/>
      <c r="AH52" s="984"/>
      <c r="AI52" s="984"/>
      <c r="AJ52" s="984"/>
      <c r="AK52" s="984"/>
      <c r="AL52" s="984"/>
      <c r="AM52" s="984"/>
      <c r="AN52" s="984"/>
      <c r="AO52" s="984"/>
    </row>
    <row r="53" spans="2:48" ht="26.25" customHeight="1" x14ac:dyDescent="0.3">
      <c r="B53" s="977" t="s">
        <v>1912</v>
      </c>
      <c r="C53" s="35"/>
      <c r="D53" s="47"/>
      <c r="E53" s="35"/>
      <c r="F53" s="35"/>
      <c r="G53" s="35"/>
      <c r="H53" s="35"/>
      <c r="I53" s="35"/>
      <c r="J53" s="35"/>
      <c r="K53" s="35"/>
      <c r="L53" s="35"/>
      <c r="M53" s="35"/>
      <c r="N53" s="35"/>
      <c r="O53" s="35"/>
      <c r="P53" s="35"/>
      <c r="Q53" s="35"/>
      <c r="R53" s="35"/>
      <c r="S53" s="949">
        <v>2829.6</v>
      </c>
      <c r="T53" s="949">
        <v>2871.1</v>
      </c>
      <c r="U53" s="949">
        <v>2900.1</v>
      </c>
      <c r="V53" s="949">
        <v>2932.7</v>
      </c>
      <c r="W53" s="949">
        <v>2970.6</v>
      </c>
      <c r="X53" s="949">
        <v>3002.9</v>
      </c>
      <c r="Y53" s="949">
        <v>3034.4</v>
      </c>
      <c r="Z53" s="949">
        <v>3062.5</v>
      </c>
      <c r="AA53" s="949">
        <v>3090.1</v>
      </c>
      <c r="AB53" s="949">
        <v>3117.6</v>
      </c>
      <c r="AC53" s="949">
        <v>3146.1</v>
      </c>
      <c r="AD53" s="949">
        <v>3174.9</v>
      </c>
      <c r="AE53" s="949">
        <v>3203.9</v>
      </c>
      <c r="AF53" s="949">
        <v>3233.8</v>
      </c>
      <c r="AG53" s="984"/>
      <c r="AH53" s="984"/>
      <c r="AI53" s="984"/>
      <c r="AJ53" s="984"/>
      <c r="AK53" s="984"/>
      <c r="AL53" s="984"/>
      <c r="AM53" s="984"/>
      <c r="AN53" s="984"/>
      <c r="AO53" s="984"/>
    </row>
    <row r="54" spans="2:48" ht="26.25" customHeight="1" x14ac:dyDescent="0.3">
      <c r="B54" s="977" t="s">
        <v>1802</v>
      </c>
      <c r="C54" s="35" t="s">
        <v>1808</v>
      </c>
      <c r="D54" s="47"/>
      <c r="E54" s="35"/>
      <c r="F54" s="35"/>
      <c r="G54" s="35"/>
      <c r="H54" s="35"/>
      <c r="I54" s="35"/>
      <c r="J54" s="35"/>
      <c r="K54" s="35"/>
      <c r="L54" s="35"/>
      <c r="M54" s="35"/>
      <c r="N54" s="35"/>
      <c r="O54" s="35"/>
      <c r="P54" s="35"/>
      <c r="Q54" s="35"/>
      <c r="R54" s="35"/>
      <c r="S54" s="179">
        <v>14141.9</v>
      </c>
      <c r="T54" s="963">
        <v>14239.3</v>
      </c>
      <c r="U54" s="983">
        <v>14317.2</v>
      </c>
      <c r="V54" s="983">
        <v>14396</v>
      </c>
      <c r="W54" s="983">
        <v>14470.5</v>
      </c>
      <c r="X54" s="983">
        <v>14536.1</v>
      </c>
      <c r="Y54" s="983">
        <v>14600.2</v>
      </c>
      <c r="Z54" s="984">
        <v>14655.3</v>
      </c>
      <c r="AA54" s="984">
        <v>14707.8</v>
      </c>
      <c r="AB54" s="984">
        <v>14768.3</v>
      </c>
      <c r="AC54" s="984">
        <v>14826.6</v>
      </c>
      <c r="AD54" s="984">
        <v>14887.5</v>
      </c>
      <c r="AE54" s="984">
        <v>14942.4</v>
      </c>
      <c r="AF54" s="985">
        <v>15010.7</v>
      </c>
      <c r="AG54" s="984"/>
      <c r="AH54" s="984"/>
      <c r="AI54" s="984"/>
      <c r="AJ54" s="984"/>
      <c r="AK54" s="984"/>
      <c r="AL54" s="984"/>
      <c r="AM54" s="984"/>
      <c r="AN54" s="984"/>
      <c r="AO54" s="984"/>
    </row>
    <row r="55" spans="2:48" ht="26.25" customHeight="1" x14ac:dyDescent="0.3">
      <c r="B55" s="977" t="s">
        <v>1913</v>
      </c>
      <c r="C55" s="35"/>
      <c r="D55" s="47"/>
      <c r="E55" s="35"/>
      <c r="F55" s="35"/>
      <c r="G55" s="35"/>
      <c r="H55" s="35"/>
      <c r="I55" s="35"/>
      <c r="J55" s="35"/>
      <c r="K55" s="35"/>
      <c r="L55" s="35"/>
      <c r="M55" s="35"/>
      <c r="N55" s="35"/>
      <c r="O55" s="35"/>
      <c r="P55" s="35"/>
      <c r="Q55" s="35"/>
      <c r="R55" s="35"/>
      <c r="S55" s="949">
        <v>14159.9</v>
      </c>
      <c r="T55" s="949">
        <v>14286.7</v>
      </c>
      <c r="U55" s="949">
        <v>14330.7</v>
      </c>
      <c r="V55" s="949">
        <v>14360.7</v>
      </c>
      <c r="W55" s="949">
        <v>14400.5</v>
      </c>
      <c r="X55" s="949">
        <v>14447.8</v>
      </c>
      <c r="Y55" s="949">
        <v>14497.8</v>
      </c>
      <c r="Z55" s="949">
        <v>14551.4</v>
      </c>
      <c r="AA55" s="949">
        <v>14606.8</v>
      </c>
      <c r="AB55" s="949">
        <v>14670.6</v>
      </c>
      <c r="AC55" s="949">
        <v>14737.3</v>
      </c>
      <c r="AD55" s="949">
        <v>14800</v>
      </c>
      <c r="AE55" s="949">
        <v>14864.9</v>
      </c>
      <c r="AF55" s="949">
        <v>14926.6</v>
      </c>
      <c r="AG55" s="984"/>
      <c r="AH55" s="984"/>
      <c r="AI55" s="984"/>
      <c r="AJ55" s="984"/>
      <c r="AK55" s="984"/>
      <c r="AL55" s="984"/>
      <c r="AM55" s="984"/>
      <c r="AN55" s="984"/>
      <c r="AO55" s="984"/>
    </row>
    <row r="56" spans="2:48" ht="26.1" customHeight="1" x14ac:dyDescent="0.3">
      <c r="B56" s="977" t="s">
        <v>1803</v>
      </c>
      <c r="C56" s="35" t="s">
        <v>1809</v>
      </c>
      <c r="D56" s="47"/>
      <c r="E56" s="35"/>
      <c r="F56" s="35"/>
      <c r="G56" s="35"/>
      <c r="H56" s="35"/>
      <c r="I56" s="35"/>
      <c r="J56" s="35"/>
      <c r="K56" s="35"/>
      <c r="L56" s="35"/>
      <c r="M56" s="35"/>
      <c r="N56" s="35"/>
      <c r="O56" s="35"/>
      <c r="P56" s="35"/>
      <c r="Q56" s="35"/>
      <c r="R56" s="35"/>
      <c r="S56" s="179">
        <v>1325.4</v>
      </c>
      <c r="T56" s="963">
        <v>1330.1</v>
      </c>
      <c r="U56" s="983">
        <v>1336.1</v>
      </c>
      <c r="V56" s="983">
        <v>1341.1</v>
      </c>
      <c r="W56" s="983">
        <v>1344.8</v>
      </c>
      <c r="X56" s="983">
        <v>1347.2</v>
      </c>
      <c r="Y56" s="983">
        <v>1350.7</v>
      </c>
      <c r="Z56" s="984">
        <v>1353.6</v>
      </c>
      <c r="AA56" s="984">
        <v>1356.5</v>
      </c>
      <c r="AB56" s="984">
        <v>1359.2</v>
      </c>
      <c r="AC56" s="984">
        <v>1360.1</v>
      </c>
      <c r="AD56" s="984">
        <v>1361.2</v>
      </c>
      <c r="AE56" s="984">
        <v>1362.5</v>
      </c>
      <c r="AF56" s="985">
        <v>1363.9</v>
      </c>
      <c r="AG56" s="984"/>
      <c r="AH56" s="984"/>
      <c r="AI56" s="984"/>
      <c r="AJ56" s="984"/>
      <c r="AK56" s="984"/>
      <c r="AL56" s="984"/>
      <c r="AM56" s="984"/>
      <c r="AN56" s="984"/>
      <c r="AO56" s="984"/>
    </row>
    <row r="57" spans="2:48" ht="26.25" customHeight="1" x14ac:dyDescent="0.3">
      <c r="B57" s="977" t="s">
        <v>1911</v>
      </c>
      <c r="C57" s="35"/>
      <c r="D57" s="47"/>
      <c r="E57" s="35"/>
      <c r="F57" s="35"/>
      <c r="G57" s="35"/>
      <c r="H57" s="35"/>
      <c r="I57" s="35"/>
      <c r="J57" s="35"/>
      <c r="K57" s="35"/>
      <c r="L57" s="35"/>
      <c r="M57" s="35"/>
      <c r="N57" s="35"/>
      <c r="O57" s="35"/>
      <c r="P57" s="35"/>
      <c r="Q57" s="35"/>
      <c r="R57" s="35"/>
      <c r="S57" s="949">
        <v>1352.6</v>
      </c>
      <c r="T57" s="949">
        <v>1350.2</v>
      </c>
      <c r="U57" s="949">
        <v>1355.6</v>
      </c>
      <c r="V57" s="949">
        <v>1360.4</v>
      </c>
      <c r="W57" s="949">
        <v>1369.5</v>
      </c>
      <c r="X57" s="949">
        <v>1376.4</v>
      </c>
      <c r="Y57" s="949">
        <v>1380.2</v>
      </c>
      <c r="Z57" s="949">
        <v>1383.1</v>
      </c>
      <c r="AA57" s="949">
        <v>1386.3</v>
      </c>
      <c r="AB57" s="949">
        <v>1388.8</v>
      </c>
      <c r="AC57" s="949">
        <v>1390.9</v>
      </c>
      <c r="AD57" s="949">
        <v>1393</v>
      </c>
      <c r="AE57" s="949">
        <v>1395.2</v>
      </c>
      <c r="AF57" s="949">
        <v>1397.5</v>
      </c>
      <c r="AG57" s="984"/>
      <c r="AH57" s="984"/>
      <c r="AI57" s="984"/>
      <c r="AJ57" s="984"/>
      <c r="AK57" s="984"/>
      <c r="AL57" s="984"/>
      <c r="AM57" s="984"/>
      <c r="AN57" s="984"/>
      <c r="AO57" s="984"/>
    </row>
    <row r="58" spans="2:48" ht="26.25" customHeight="1" x14ac:dyDescent="0.3">
      <c r="B58" s="978" t="s">
        <v>1804</v>
      </c>
      <c r="C58" s="36" t="s">
        <v>1810</v>
      </c>
      <c r="D58" s="169"/>
      <c r="E58" s="36"/>
      <c r="F58" s="36"/>
      <c r="G58" s="36"/>
      <c r="H58" s="36"/>
      <c r="I58" s="36"/>
      <c r="J58" s="36"/>
      <c r="K58" s="36"/>
      <c r="L58" s="36"/>
      <c r="M58" s="36"/>
      <c r="N58" s="36"/>
      <c r="O58" s="36"/>
      <c r="P58" s="36"/>
      <c r="Q58" s="36"/>
      <c r="R58" s="36"/>
      <c r="S58" s="998">
        <v>2063.4</v>
      </c>
      <c r="T58" s="964">
        <v>2072.6999999999998</v>
      </c>
      <c r="U58" s="987">
        <v>2079.5</v>
      </c>
      <c r="V58" s="987">
        <v>2084.6999999999998</v>
      </c>
      <c r="W58" s="987">
        <v>2088.9</v>
      </c>
      <c r="X58" s="987">
        <v>2092.8000000000002</v>
      </c>
      <c r="Y58" s="987">
        <v>2096.3000000000002</v>
      </c>
      <c r="Z58" s="988">
        <v>2099.9</v>
      </c>
      <c r="AA58" s="988">
        <v>2103.8000000000002</v>
      </c>
      <c r="AB58" s="988">
        <v>2108</v>
      </c>
      <c r="AC58" s="988">
        <v>2113</v>
      </c>
      <c r="AD58" s="988">
        <v>2118.1999999999998</v>
      </c>
      <c r="AE58" s="988">
        <v>2123.6999999999998</v>
      </c>
      <c r="AF58" s="989">
        <v>2129</v>
      </c>
      <c r="AG58" s="984"/>
      <c r="AH58" s="984"/>
      <c r="AI58" s="984"/>
      <c r="AJ58" s="984"/>
      <c r="AK58" s="984"/>
      <c r="AL58" s="984"/>
      <c r="AM58" s="984"/>
      <c r="AN58" s="984"/>
      <c r="AO58" s="984"/>
    </row>
    <row r="59" spans="2:48" ht="26.1" customHeight="1" x14ac:dyDescent="0.3">
      <c r="B59" s="977" t="s">
        <v>1914</v>
      </c>
      <c r="C59" s="35"/>
      <c r="D59" s="47"/>
      <c r="E59" s="35"/>
      <c r="F59" s="35"/>
      <c r="G59" s="35"/>
      <c r="H59" s="35"/>
      <c r="I59" s="35"/>
      <c r="J59" s="35"/>
      <c r="K59" s="35"/>
      <c r="L59" s="35"/>
      <c r="M59" s="35"/>
      <c r="N59" s="35"/>
      <c r="O59" s="35"/>
      <c r="P59" s="35"/>
      <c r="Q59" s="35"/>
      <c r="R59" s="35"/>
      <c r="S59" s="949">
        <v>2052.1</v>
      </c>
      <c r="T59" s="949">
        <v>2058</v>
      </c>
      <c r="U59" s="949">
        <v>2061.1</v>
      </c>
      <c r="V59" s="949">
        <v>2067.6999999999998</v>
      </c>
      <c r="W59" s="949">
        <v>2076.5</v>
      </c>
      <c r="X59" s="949">
        <v>2081.4</v>
      </c>
      <c r="Y59" s="949">
        <v>2087.1</v>
      </c>
      <c r="Z59" s="949">
        <v>2091.9</v>
      </c>
      <c r="AA59" s="949">
        <v>2096.6999999999998</v>
      </c>
      <c r="AB59" s="949">
        <v>2101.5</v>
      </c>
      <c r="AC59" s="949">
        <v>2106.3000000000002</v>
      </c>
      <c r="AD59" s="949">
        <v>2111.3000000000002</v>
      </c>
      <c r="AE59" s="949">
        <v>2116.1999999999998</v>
      </c>
      <c r="AF59" s="949">
        <v>2121.6999999999998</v>
      </c>
      <c r="AG59" s="984"/>
      <c r="AH59" s="984"/>
      <c r="AI59" s="984"/>
      <c r="AJ59" s="984"/>
      <c r="AK59" s="984"/>
      <c r="AL59" s="984"/>
      <c r="AM59" s="984"/>
      <c r="AN59" s="984"/>
      <c r="AO59" s="984"/>
    </row>
    <row r="60" spans="2:48" x14ac:dyDescent="0.3">
      <c r="B60" s="994"/>
      <c r="C60" s="995"/>
      <c r="D60" s="958"/>
      <c r="E60" s="958"/>
      <c r="F60" s="958"/>
      <c r="G60" s="958"/>
      <c r="H60" s="958"/>
      <c r="I60" s="958"/>
      <c r="J60" s="958"/>
      <c r="K60" s="958"/>
      <c r="L60" s="958"/>
      <c r="M60" s="958"/>
      <c r="N60" s="958"/>
      <c r="O60" s="958"/>
      <c r="P60" s="958"/>
      <c r="Q60" s="958"/>
      <c r="R60" s="958"/>
      <c r="S60" s="958"/>
      <c r="T60" s="959" t="s">
        <v>1792</v>
      </c>
      <c r="U60" s="996"/>
      <c r="V60" s="996"/>
      <c r="W60" s="996"/>
      <c r="X60" s="996"/>
      <c r="Y60" s="996"/>
      <c r="Z60" s="996"/>
      <c r="AA60" s="996"/>
      <c r="AB60" s="996"/>
      <c r="AC60" s="996"/>
      <c r="AD60" s="996"/>
      <c r="AE60" s="996"/>
      <c r="AF60" s="997"/>
      <c r="AG60" s="213"/>
      <c r="AH60" s="213"/>
      <c r="AI60" s="213"/>
      <c r="AJ60" s="213"/>
      <c r="AK60" s="213"/>
      <c r="AL60" s="213"/>
      <c r="AM60" s="213"/>
      <c r="AN60" s="213"/>
      <c r="AO60" s="213"/>
      <c r="AP60" s="35"/>
      <c r="AQ60" s="35"/>
      <c r="AR60" s="35"/>
      <c r="AS60" s="35"/>
      <c r="AT60" s="35"/>
      <c r="AU60" s="35"/>
      <c r="AV60" s="35"/>
    </row>
    <row r="61" spans="2:48" x14ac:dyDescent="0.3">
      <c r="B61" s="1011" t="s">
        <v>1796</v>
      </c>
      <c r="C61" s="86"/>
      <c r="D61" s="950"/>
      <c r="E61" s="950"/>
      <c r="F61" s="950"/>
      <c r="G61" s="950"/>
      <c r="H61" s="950"/>
      <c r="I61" s="950"/>
      <c r="J61" s="950"/>
      <c r="K61" s="950"/>
      <c r="L61" s="950"/>
      <c r="M61" s="950"/>
      <c r="N61" s="950"/>
      <c r="O61" s="950"/>
      <c r="P61" s="950"/>
      <c r="Q61" s="950"/>
      <c r="R61" s="950"/>
      <c r="S61" s="990">
        <f t="shared" ref="S61:AF61" si="19">S49/S55</f>
        <v>1.2370920698592502</v>
      </c>
      <c r="T61" s="990">
        <f t="shared" si="19"/>
        <v>1.2494907851358255</v>
      </c>
      <c r="U61" s="990">
        <f t="shared" si="19"/>
        <v>1.260503673930792</v>
      </c>
      <c r="V61" s="990">
        <f t="shared" si="19"/>
        <v>1.2709895757170611</v>
      </c>
      <c r="W61" s="990">
        <f t="shared" si="19"/>
        <v>1.2813999513905767</v>
      </c>
      <c r="X61" s="990">
        <f t="shared" si="19"/>
        <v>1.2908124420326972</v>
      </c>
      <c r="Y61" s="990">
        <f t="shared" si="19"/>
        <v>1.2992660955455311</v>
      </c>
      <c r="Z61" s="990">
        <f t="shared" si="19"/>
        <v>1.307049493519524</v>
      </c>
      <c r="AA61" s="990">
        <f t="shared" si="19"/>
        <v>1.3145178957745709</v>
      </c>
      <c r="AB61" s="990">
        <f t="shared" si="19"/>
        <v>1.3218205117718431</v>
      </c>
      <c r="AC61" s="990">
        <f t="shared" si="19"/>
        <v>1.329185128890638</v>
      </c>
      <c r="AD61" s="990">
        <f t="shared" si="19"/>
        <v>1.3364594594594594</v>
      </c>
      <c r="AE61" s="990">
        <f t="shared" si="19"/>
        <v>1.3436686422377548</v>
      </c>
      <c r="AF61" s="962">
        <f t="shared" si="19"/>
        <v>1.3508635590154487</v>
      </c>
      <c r="AG61" s="981"/>
      <c r="AH61" s="981"/>
      <c r="AI61" s="981"/>
      <c r="AJ61" s="981"/>
      <c r="AK61" s="981"/>
      <c r="AL61" s="981"/>
      <c r="AM61" s="981"/>
      <c r="AN61" s="981"/>
      <c r="AO61" s="981"/>
    </row>
    <row r="62" spans="2:48" x14ac:dyDescent="0.3">
      <c r="B62" s="47" t="s">
        <v>1797</v>
      </c>
      <c r="C62" s="168"/>
      <c r="D62" s="35"/>
      <c r="E62" s="35"/>
      <c r="F62" s="35"/>
      <c r="G62" s="35"/>
      <c r="H62" s="35"/>
      <c r="I62" s="35"/>
      <c r="J62" s="35"/>
      <c r="K62" s="35"/>
      <c r="L62" s="35"/>
      <c r="M62" s="35"/>
      <c r="N62" s="35"/>
      <c r="O62" s="35"/>
      <c r="P62" s="35"/>
      <c r="Q62" s="35"/>
      <c r="R62" s="35"/>
      <c r="S62" s="980">
        <f t="shared" ref="S62" si="20">S51/S57</f>
        <v>1.2249741239095078</v>
      </c>
      <c r="T62" s="980">
        <f t="shared" ref="T62:AF62" si="21">T51/T57</f>
        <v>1.2337431491630868</v>
      </c>
      <c r="U62" s="980">
        <f t="shared" si="21"/>
        <v>1.2416642077308941</v>
      </c>
      <c r="V62" s="980">
        <f t="shared" si="21"/>
        <v>1.2488973831226109</v>
      </c>
      <c r="W62" s="980">
        <f t="shared" si="21"/>
        <v>1.256736035049288</v>
      </c>
      <c r="X62" s="980">
        <f t="shared" si="21"/>
        <v>1.2646759662888694</v>
      </c>
      <c r="Y62" s="980">
        <f t="shared" si="21"/>
        <v>1.2738733516881611</v>
      </c>
      <c r="Z62" s="980">
        <f t="shared" si="21"/>
        <v>1.2827705878099922</v>
      </c>
      <c r="AA62" s="980">
        <f t="shared" si="21"/>
        <v>1.2914953473274184</v>
      </c>
      <c r="AB62" s="980">
        <f t="shared" si="21"/>
        <v>1.3000432027649771</v>
      </c>
      <c r="AC62" s="980">
        <f t="shared" si="21"/>
        <v>1.3077863254008195</v>
      </c>
      <c r="AD62" s="980">
        <f t="shared" si="21"/>
        <v>1.3157214644651831</v>
      </c>
      <c r="AE62" s="980">
        <f t="shared" si="21"/>
        <v>1.3236811926605503</v>
      </c>
      <c r="AF62" s="991">
        <f t="shared" si="21"/>
        <v>1.3315921288014312</v>
      </c>
      <c r="AG62" s="984"/>
      <c r="AH62" s="984"/>
      <c r="AI62" s="984"/>
      <c r="AJ62" s="984"/>
      <c r="AK62" s="984"/>
      <c r="AL62" s="984"/>
      <c r="AM62" s="984"/>
      <c r="AN62" s="984"/>
      <c r="AO62" s="984"/>
    </row>
    <row r="63" spans="2:48" x14ac:dyDescent="0.3">
      <c r="B63" s="169" t="s">
        <v>1798</v>
      </c>
      <c r="C63" s="170"/>
      <c r="D63" s="36"/>
      <c r="E63" s="36"/>
      <c r="F63" s="36"/>
      <c r="G63" s="36"/>
      <c r="H63" s="36"/>
      <c r="I63" s="36"/>
      <c r="J63" s="36"/>
      <c r="K63" s="36"/>
      <c r="L63" s="36"/>
      <c r="M63" s="36"/>
      <c r="N63" s="36"/>
      <c r="O63" s="36"/>
      <c r="P63" s="36"/>
      <c r="Q63" s="36"/>
      <c r="R63" s="36"/>
      <c r="S63" s="986">
        <f t="shared" ref="S63" si="22">S53/S59</f>
        <v>1.3788801715316017</v>
      </c>
      <c r="T63" s="986">
        <f t="shared" ref="T63:AF63" si="23">T53/T59</f>
        <v>1.3950923226433429</v>
      </c>
      <c r="U63" s="986">
        <f t="shared" si="23"/>
        <v>1.4070641890252777</v>
      </c>
      <c r="V63" s="986">
        <f t="shared" si="23"/>
        <v>1.4183392174880303</v>
      </c>
      <c r="W63" s="986">
        <f t="shared" si="23"/>
        <v>1.4305803033951361</v>
      </c>
      <c r="X63" s="986">
        <f t="shared" si="23"/>
        <v>1.442730854232728</v>
      </c>
      <c r="Y63" s="986">
        <f t="shared" si="23"/>
        <v>1.4538833788510375</v>
      </c>
      <c r="Z63" s="986">
        <f t="shared" si="23"/>
        <v>1.4639801137721689</v>
      </c>
      <c r="AA63" s="986">
        <f t="shared" si="23"/>
        <v>1.4737921495683695</v>
      </c>
      <c r="AB63" s="986">
        <f t="shared" si="23"/>
        <v>1.4835117773019271</v>
      </c>
      <c r="AC63" s="986">
        <f t="shared" si="23"/>
        <v>1.4936618715282721</v>
      </c>
      <c r="AD63" s="986">
        <f t="shared" si="23"/>
        <v>1.5037654525647703</v>
      </c>
      <c r="AE63" s="986">
        <f t="shared" si="23"/>
        <v>1.5139873357905682</v>
      </c>
      <c r="AF63" s="992">
        <f t="shared" si="23"/>
        <v>1.5241551585992368</v>
      </c>
      <c r="AG63" s="984"/>
      <c r="AH63" s="984"/>
      <c r="AI63" s="984"/>
      <c r="AJ63" s="984"/>
      <c r="AK63" s="984"/>
      <c r="AL63" s="984"/>
      <c r="AM63" s="984"/>
      <c r="AN63" s="984"/>
      <c r="AO63" s="984"/>
    </row>
    <row r="64" spans="2:48" x14ac:dyDescent="0.3">
      <c r="B64" s="979"/>
      <c r="C64" s="979"/>
      <c r="D64" s="213"/>
      <c r="E64" s="213"/>
      <c r="F64" s="213"/>
      <c r="G64" s="213"/>
      <c r="H64" s="213"/>
      <c r="I64" s="213"/>
      <c r="J64" s="213"/>
      <c r="K64" s="213"/>
      <c r="L64" s="213"/>
      <c r="M64" s="213"/>
      <c r="N64" s="213"/>
      <c r="O64" s="213"/>
      <c r="P64" s="213"/>
      <c r="Q64" s="213"/>
      <c r="R64" s="213"/>
      <c r="S64" s="213"/>
      <c r="T64" s="213"/>
      <c r="U64" s="213"/>
      <c r="V64" s="213"/>
      <c r="W64" s="213"/>
      <c r="X64" s="213"/>
      <c r="Y64" s="213"/>
      <c r="Z64" s="35"/>
      <c r="AA64" s="35"/>
      <c r="AB64" s="35"/>
      <c r="AC64" s="35"/>
      <c r="AD64" s="35"/>
      <c r="AE64" s="35"/>
      <c r="AF64" s="35"/>
    </row>
    <row r="65" spans="2:41" x14ac:dyDescent="0.3">
      <c r="B65" s="979"/>
      <c r="C65" s="979"/>
      <c r="D65" s="213"/>
      <c r="E65" s="213"/>
      <c r="F65" s="213"/>
      <c r="G65" s="213"/>
      <c r="H65" s="213"/>
      <c r="I65" s="213"/>
      <c r="J65" s="213"/>
      <c r="K65" s="213"/>
      <c r="L65" s="213"/>
      <c r="M65" s="213"/>
      <c r="N65" s="213"/>
      <c r="O65" s="213"/>
      <c r="P65" s="213"/>
      <c r="Q65" s="213"/>
      <c r="R65" s="213"/>
      <c r="S65" s="213"/>
      <c r="T65" s="770"/>
      <c r="U65" s="770"/>
      <c r="V65" s="770"/>
      <c r="W65" s="770"/>
      <c r="X65" s="770"/>
      <c r="Y65" s="770"/>
      <c r="Z65" s="770"/>
      <c r="AA65" s="770"/>
      <c r="AB65" s="770"/>
      <c r="AC65" s="770"/>
      <c r="AD65" s="770"/>
      <c r="AE65" s="770"/>
      <c r="AF65" s="770"/>
    </row>
    <row r="66" spans="2:41" ht="26.25" customHeight="1" x14ac:dyDescent="0.3">
      <c r="B66" s="978" t="s">
        <v>1804</v>
      </c>
      <c r="C66" s="36" t="s">
        <v>1810</v>
      </c>
      <c r="D66" s="169"/>
      <c r="E66" s="36"/>
      <c r="F66" s="36"/>
      <c r="G66" s="36"/>
      <c r="H66" s="36"/>
      <c r="I66" s="36"/>
      <c r="J66" s="36"/>
      <c r="K66" s="36"/>
      <c r="L66" s="36"/>
      <c r="M66" s="36"/>
      <c r="N66" s="36"/>
      <c r="O66" s="36"/>
      <c r="P66" s="36"/>
      <c r="Q66" s="36"/>
      <c r="R66" s="36"/>
      <c r="S66" s="998">
        <v>2063.4</v>
      </c>
      <c r="T66" s="964">
        <v>2072.6999999999998</v>
      </c>
      <c r="U66" s="987">
        <v>2079.5</v>
      </c>
      <c r="V66" s="987">
        <v>2084.6999999999998</v>
      </c>
      <c r="W66" s="987">
        <v>2088.9</v>
      </c>
      <c r="X66" s="987">
        <v>2092.8000000000002</v>
      </c>
      <c r="Y66" s="987">
        <v>2096.3000000000002</v>
      </c>
      <c r="Z66" s="988">
        <v>2099.9</v>
      </c>
      <c r="AA66" s="988">
        <v>2103.8000000000002</v>
      </c>
      <c r="AB66" s="988">
        <v>2108</v>
      </c>
      <c r="AC66" s="988">
        <v>2113</v>
      </c>
      <c r="AD66" s="988">
        <v>2118.1999999999998</v>
      </c>
      <c r="AE66" s="988">
        <v>2123.6999999999998</v>
      </c>
      <c r="AF66" s="989">
        <v>2129</v>
      </c>
      <c r="AG66" s="984"/>
      <c r="AH66" s="984"/>
      <c r="AI66" s="984"/>
      <c r="AJ66" s="984"/>
      <c r="AK66" s="984"/>
      <c r="AL66" s="984"/>
      <c r="AM66" s="984"/>
      <c r="AN66" s="984"/>
      <c r="AO66" s="984"/>
    </row>
    <row r="68" spans="2:41" x14ac:dyDescent="0.3">
      <c r="C68" s="30"/>
      <c r="D68" s="965"/>
      <c r="E68" s="965"/>
      <c r="F68" s="965"/>
      <c r="G68" s="965"/>
    </row>
    <row r="72" spans="2:41" x14ac:dyDescent="0.3">
      <c r="C72" s="14"/>
      <c r="D72" s="70"/>
      <c r="E72" s="70"/>
      <c r="F72" s="70"/>
      <c r="G72" s="70"/>
      <c r="H72" s="70"/>
      <c r="I72" s="70"/>
      <c r="J72" s="70"/>
      <c r="K72" s="70"/>
      <c r="L72" s="70"/>
      <c r="M72" s="70"/>
    </row>
    <row r="73" spans="2:41" x14ac:dyDescent="0.3">
      <c r="C73" s="30"/>
      <c r="D73" s="969"/>
      <c r="E73" s="969"/>
      <c r="F73" s="969"/>
      <c r="G73" s="969"/>
      <c r="H73" s="969"/>
      <c r="I73" s="969"/>
      <c r="J73" s="969"/>
      <c r="K73" s="969"/>
      <c r="L73" s="969"/>
      <c r="M73" s="969"/>
    </row>
    <row r="74" spans="2:41" x14ac:dyDescent="0.3">
      <c r="C74" s="965"/>
      <c r="D74" s="969"/>
      <c r="E74" s="969"/>
      <c r="F74" s="969"/>
      <c r="G74" s="969"/>
      <c r="H74" s="969"/>
      <c r="I74" s="969"/>
      <c r="J74" s="969"/>
      <c r="K74" s="969"/>
      <c r="L74" s="969"/>
      <c r="M74" s="969"/>
    </row>
    <row r="75" spans="2:41" x14ac:dyDescent="0.3">
      <c r="C75" s="965"/>
      <c r="D75" s="969"/>
      <c r="E75" s="969"/>
      <c r="F75" s="969"/>
      <c r="G75" s="969"/>
      <c r="H75" s="969"/>
      <c r="I75" s="969"/>
      <c r="J75" s="969"/>
      <c r="K75" s="969"/>
      <c r="L75" s="969"/>
      <c r="M75" s="969"/>
    </row>
    <row r="76" spans="2:41" x14ac:dyDescent="0.3">
      <c r="C76" s="965"/>
      <c r="D76" s="969"/>
      <c r="E76" s="969"/>
      <c r="F76" s="969"/>
      <c r="G76" s="969"/>
      <c r="H76" s="969"/>
      <c r="I76" s="969"/>
      <c r="J76" s="969"/>
      <c r="K76" s="969"/>
      <c r="L76" s="969"/>
      <c r="M76" s="969"/>
    </row>
    <row r="77" spans="2:41" x14ac:dyDescent="0.3">
      <c r="C77" s="965"/>
      <c r="D77" s="969"/>
      <c r="E77" s="969"/>
      <c r="F77" s="969"/>
      <c r="G77" s="969"/>
      <c r="H77" s="969"/>
      <c r="I77" s="969"/>
      <c r="J77" s="969"/>
      <c r="K77" s="969"/>
      <c r="L77" s="969"/>
      <c r="M77" s="969"/>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0.77734375" defaultRowHeight="14.4" x14ac:dyDescent="0.3"/>
  <cols>
    <col min="3" max="3" width="33.77734375" customWidth="1"/>
  </cols>
  <sheetData>
    <row r="3" spans="1:17" x14ac:dyDescent="0.3">
      <c r="A3" s="838" t="s">
        <v>574</v>
      </c>
      <c r="B3" s="213"/>
    </row>
    <row r="4" spans="1:17" x14ac:dyDescent="0.3">
      <c r="A4" s="1023" t="s">
        <v>575</v>
      </c>
      <c r="B4" s="1024"/>
      <c r="C4" s="1024"/>
    </row>
    <row r="7" spans="1:17" x14ac:dyDescent="0.3">
      <c r="A7" s="1426" t="s">
        <v>576</v>
      </c>
      <c r="B7" s="1427"/>
      <c r="C7" s="1427"/>
      <c r="D7" s="1427"/>
      <c r="E7" s="1427"/>
      <c r="F7" s="1427"/>
      <c r="G7" s="1427"/>
      <c r="H7" s="1427"/>
      <c r="I7" s="1427"/>
      <c r="J7" s="1427"/>
      <c r="K7" s="1427"/>
      <c r="L7" s="1427"/>
      <c r="M7" s="1427"/>
      <c r="N7" s="1427"/>
      <c r="O7" s="1427"/>
      <c r="P7" s="1427"/>
    </row>
    <row r="8" spans="1:17" x14ac:dyDescent="0.3">
      <c r="A8" s="264" t="s">
        <v>577</v>
      </c>
      <c r="B8" s="264"/>
      <c r="C8" s="264"/>
      <c r="D8" s="1031"/>
      <c r="E8" s="264"/>
      <c r="F8" s="264"/>
      <c r="G8" s="264"/>
      <c r="H8" s="264"/>
      <c r="I8" s="264"/>
      <c r="J8" s="264"/>
      <c r="K8" s="264"/>
      <c r="L8" s="264"/>
      <c r="M8" s="264"/>
      <c r="N8" s="264"/>
      <c r="O8" s="264"/>
      <c r="P8" s="264"/>
    </row>
    <row r="9" spans="1:17" x14ac:dyDescent="0.3">
      <c r="A9" s="213"/>
      <c r="B9" s="213"/>
      <c r="C9" s="213"/>
      <c r="D9" s="1019"/>
      <c r="E9" s="213"/>
      <c r="F9" s="213"/>
      <c r="G9" s="213"/>
      <c r="H9" s="213"/>
      <c r="I9" s="213"/>
      <c r="J9" s="213"/>
      <c r="K9" s="213"/>
      <c r="L9" s="213"/>
      <c r="M9" s="213"/>
      <c r="N9" s="213"/>
      <c r="O9" s="213"/>
      <c r="P9" s="213"/>
    </row>
    <row r="10" spans="1:17" x14ac:dyDescent="0.3">
      <c r="A10" s="213"/>
      <c r="B10" s="213"/>
      <c r="C10" s="213"/>
      <c r="D10" s="1019"/>
      <c r="E10" s="213"/>
      <c r="F10" s="213"/>
      <c r="G10" s="213"/>
      <c r="H10" s="213"/>
      <c r="I10" s="213"/>
      <c r="J10" s="213"/>
      <c r="K10" s="213"/>
      <c r="L10" s="213"/>
      <c r="M10" s="213"/>
      <c r="N10" s="213"/>
      <c r="O10" s="1428" t="s">
        <v>359</v>
      </c>
      <c r="P10" s="1428"/>
    </row>
    <row r="11" spans="1:17" x14ac:dyDescent="0.3">
      <c r="A11" s="213"/>
      <c r="B11" s="213"/>
      <c r="C11" s="645"/>
      <c r="D11" s="241"/>
      <c r="E11" s="645"/>
      <c r="F11" s="645"/>
      <c r="G11" s="645"/>
      <c r="H11" s="645"/>
      <c r="I11" s="645"/>
      <c r="J11" s="645"/>
      <c r="K11" s="645"/>
      <c r="L11" s="645"/>
      <c r="M11" s="645"/>
      <c r="N11" s="645"/>
      <c r="O11" s="1030" t="s">
        <v>578</v>
      </c>
      <c r="P11" s="1030" t="s">
        <v>578</v>
      </c>
    </row>
    <row r="12" spans="1:17" x14ac:dyDescent="0.3">
      <c r="A12" s="264"/>
      <c r="B12" s="264"/>
      <c r="C12" s="264"/>
      <c r="D12" s="1031">
        <v>2020</v>
      </c>
      <c r="E12" s="1031">
        <v>2021</v>
      </c>
      <c r="F12" s="1031">
        <v>2022</v>
      </c>
      <c r="G12" s="1031">
        <v>2023</v>
      </c>
      <c r="H12" s="1031">
        <v>2024</v>
      </c>
      <c r="I12" s="1031">
        <v>2025</v>
      </c>
      <c r="J12" s="1031">
        <v>2026</v>
      </c>
      <c r="K12" s="1031">
        <v>2027</v>
      </c>
      <c r="L12" s="1031">
        <v>2028</v>
      </c>
      <c r="M12" s="1031">
        <v>2029</v>
      </c>
      <c r="N12" s="1031">
        <v>2030</v>
      </c>
      <c r="O12" s="692">
        <v>2025</v>
      </c>
      <c r="P12" s="692">
        <v>2030</v>
      </c>
    </row>
    <row r="13" spans="1:17" x14ac:dyDescent="0.3">
      <c r="A13" s="645" t="s">
        <v>579</v>
      </c>
      <c r="B13" s="645"/>
      <c r="C13" s="645"/>
      <c r="D13" s="1026">
        <v>540.56299999999999</v>
      </c>
      <c r="E13" s="1026">
        <v>0</v>
      </c>
      <c r="F13" s="1026">
        <v>0</v>
      </c>
      <c r="G13" s="1026">
        <v>0</v>
      </c>
      <c r="H13" s="1026">
        <v>0</v>
      </c>
      <c r="I13" s="1026">
        <v>0</v>
      </c>
      <c r="J13" s="1026">
        <v>0</v>
      </c>
      <c r="K13" s="1026">
        <v>0</v>
      </c>
      <c r="L13" s="1026">
        <v>0</v>
      </c>
      <c r="M13" s="1026">
        <v>0</v>
      </c>
      <c r="N13" s="1026">
        <v>0</v>
      </c>
      <c r="O13" s="1026">
        <v>0</v>
      </c>
      <c r="P13" s="1026">
        <v>0</v>
      </c>
      <c r="Q13" t="s">
        <v>50</v>
      </c>
    </row>
    <row r="14" spans="1:17" x14ac:dyDescent="0.3">
      <c r="A14" s="213" t="s">
        <v>580</v>
      </c>
      <c r="B14" s="213"/>
      <c r="C14" s="213"/>
      <c r="D14" s="241"/>
      <c r="E14" s="645"/>
      <c r="F14" s="645"/>
      <c r="G14" s="645"/>
      <c r="H14" s="645"/>
      <c r="I14" s="645"/>
      <c r="J14" s="645"/>
      <c r="K14" s="645"/>
      <c r="L14" s="645"/>
      <c r="M14" s="645"/>
      <c r="N14" s="645"/>
      <c r="O14" s="645"/>
      <c r="P14" s="645"/>
      <c r="Q14" t="s">
        <v>581</v>
      </c>
    </row>
    <row r="15" spans="1:17" x14ac:dyDescent="0.3">
      <c r="A15" s="213"/>
      <c r="B15" s="213" t="s">
        <v>582</v>
      </c>
      <c r="C15" s="213"/>
      <c r="D15" s="241">
        <v>285.56</v>
      </c>
      <c r="E15" s="241">
        <v>5</v>
      </c>
      <c r="F15" s="241">
        <v>0</v>
      </c>
      <c r="G15" s="241">
        <v>0</v>
      </c>
      <c r="H15" s="241">
        <v>0</v>
      </c>
      <c r="I15" s="241">
        <v>0</v>
      </c>
      <c r="J15" s="241">
        <v>0</v>
      </c>
      <c r="K15" s="241">
        <v>0</v>
      </c>
      <c r="L15" s="241">
        <v>0</v>
      </c>
      <c r="M15" s="241">
        <v>0</v>
      </c>
      <c r="N15" s="241">
        <v>0</v>
      </c>
      <c r="O15" s="241">
        <v>5</v>
      </c>
      <c r="P15" s="241">
        <v>5</v>
      </c>
    </row>
    <row r="16" spans="1:17" x14ac:dyDescent="0.3">
      <c r="A16" s="645"/>
      <c r="B16" s="213" t="s">
        <v>583</v>
      </c>
      <c r="C16" s="645"/>
      <c r="D16" s="241">
        <v>67.209999999999994</v>
      </c>
      <c r="E16" s="241">
        <v>13.68</v>
      </c>
      <c r="F16" s="241">
        <v>0</v>
      </c>
      <c r="G16" s="241">
        <v>0</v>
      </c>
      <c r="H16" s="241">
        <v>0</v>
      </c>
      <c r="I16" s="241">
        <v>0</v>
      </c>
      <c r="J16" s="241">
        <v>0</v>
      </c>
      <c r="K16" s="241">
        <v>0</v>
      </c>
      <c r="L16" s="241">
        <v>0</v>
      </c>
      <c r="M16" s="241">
        <v>0</v>
      </c>
      <c r="N16" s="241">
        <v>0</v>
      </c>
      <c r="O16" s="241">
        <v>13.68</v>
      </c>
      <c r="P16" s="241">
        <v>13.68</v>
      </c>
    </row>
    <row r="17" spans="1:17" x14ac:dyDescent="0.3">
      <c r="A17" s="645"/>
      <c r="B17" s="213" t="s">
        <v>584</v>
      </c>
      <c r="C17" s="645"/>
      <c r="D17" s="241">
        <v>11.12</v>
      </c>
      <c r="E17" s="241">
        <v>47.8</v>
      </c>
      <c r="F17" s="241">
        <v>0</v>
      </c>
      <c r="G17" s="241">
        <v>0</v>
      </c>
      <c r="H17" s="241">
        <v>0</v>
      </c>
      <c r="I17" s="241">
        <v>0</v>
      </c>
      <c r="J17" s="241">
        <v>0</v>
      </c>
      <c r="K17" s="241">
        <v>0</v>
      </c>
      <c r="L17" s="241">
        <v>0</v>
      </c>
      <c r="M17" s="241">
        <v>0</v>
      </c>
      <c r="N17" s="241">
        <v>0</v>
      </c>
      <c r="O17" s="241">
        <v>47.8</v>
      </c>
      <c r="P17" s="241">
        <v>47.8</v>
      </c>
    </row>
    <row r="18" spans="1:17" x14ac:dyDescent="0.3">
      <c r="A18" s="645"/>
      <c r="B18" s="213" t="s">
        <v>585</v>
      </c>
      <c r="C18" s="645"/>
      <c r="D18" s="241">
        <v>6.2149999999999999</v>
      </c>
      <c r="E18" s="241">
        <v>5.0049999999999999</v>
      </c>
      <c r="F18" s="241">
        <v>0</v>
      </c>
      <c r="G18" s="241">
        <v>0</v>
      </c>
      <c r="H18" s="241">
        <v>0</v>
      </c>
      <c r="I18" s="241">
        <v>0</v>
      </c>
      <c r="J18" s="241">
        <v>0</v>
      </c>
      <c r="K18" s="241">
        <v>0</v>
      </c>
      <c r="L18" s="241">
        <v>0</v>
      </c>
      <c r="M18" s="241">
        <v>0</v>
      </c>
      <c r="N18" s="241">
        <v>0</v>
      </c>
      <c r="O18" s="241">
        <v>5.0049999999999999</v>
      </c>
      <c r="P18" s="241">
        <v>5.0049999999999999</v>
      </c>
    </row>
    <row r="19" spans="1:17" x14ac:dyDescent="0.3">
      <c r="A19" s="645"/>
      <c r="B19" s="213"/>
      <c r="C19" s="645"/>
      <c r="D19" s="241" t="s">
        <v>586</v>
      </c>
      <c r="E19" s="241" t="s">
        <v>586</v>
      </c>
      <c r="F19" s="241" t="s">
        <v>586</v>
      </c>
      <c r="G19" s="241" t="s">
        <v>586</v>
      </c>
      <c r="H19" s="241" t="s">
        <v>586</v>
      </c>
      <c r="I19" s="241" t="s">
        <v>586</v>
      </c>
      <c r="J19" s="241" t="s">
        <v>586</v>
      </c>
      <c r="K19" s="241" t="s">
        <v>586</v>
      </c>
      <c r="L19" s="241" t="s">
        <v>586</v>
      </c>
      <c r="M19" s="241" t="s">
        <v>586</v>
      </c>
      <c r="N19" s="241" t="s">
        <v>586</v>
      </c>
      <c r="O19" s="241" t="s">
        <v>586</v>
      </c>
      <c r="P19" s="241" t="s">
        <v>586</v>
      </c>
    </row>
    <row r="20" spans="1:17" x14ac:dyDescent="0.3">
      <c r="A20" s="645"/>
      <c r="B20" s="213"/>
      <c r="C20" s="645" t="s">
        <v>587</v>
      </c>
      <c r="D20" s="241">
        <v>370.10500000000002</v>
      </c>
      <c r="E20" s="241">
        <v>71.484999999999999</v>
      </c>
      <c r="F20" s="241">
        <v>0</v>
      </c>
      <c r="G20" s="241">
        <v>0</v>
      </c>
      <c r="H20" s="241">
        <v>0</v>
      </c>
      <c r="I20" s="241">
        <v>0</v>
      </c>
      <c r="J20" s="241">
        <v>0</v>
      </c>
      <c r="K20" s="241">
        <v>0</v>
      </c>
      <c r="L20" s="241">
        <v>0</v>
      </c>
      <c r="M20" s="241">
        <v>0</v>
      </c>
      <c r="N20" s="241">
        <v>0</v>
      </c>
      <c r="O20" s="241">
        <v>71.484999999999999</v>
      </c>
      <c r="P20" s="241">
        <v>71.484999999999999</v>
      </c>
    </row>
    <row r="21" spans="1:17" x14ac:dyDescent="0.3">
      <c r="A21" s="645"/>
      <c r="B21" s="213"/>
      <c r="C21" s="645"/>
      <c r="D21" s="241"/>
      <c r="E21" s="241"/>
      <c r="F21" s="241"/>
      <c r="G21" s="241"/>
      <c r="H21" s="241"/>
      <c r="I21" s="241"/>
      <c r="J21" s="241"/>
      <c r="K21" s="241"/>
      <c r="L21" s="241"/>
      <c r="M21" s="241"/>
      <c r="N21" s="241"/>
      <c r="O21" s="241"/>
      <c r="P21" s="241"/>
    </row>
    <row r="22" spans="1:17" ht="17.100000000000001" customHeight="1" x14ac:dyDescent="0.3">
      <c r="A22" s="645" t="s">
        <v>588</v>
      </c>
      <c r="B22" s="213"/>
      <c r="C22" s="645"/>
      <c r="D22" s="241">
        <v>271.98399999999998</v>
      </c>
      <c r="E22" s="241">
        <v>9.327</v>
      </c>
      <c r="F22" s="241">
        <v>0</v>
      </c>
      <c r="G22" s="241">
        <v>0</v>
      </c>
      <c r="H22" s="241">
        <v>0</v>
      </c>
      <c r="I22" s="241">
        <v>0</v>
      </c>
      <c r="J22" s="241">
        <v>0</v>
      </c>
      <c r="K22" s="241">
        <v>0</v>
      </c>
      <c r="L22" s="241">
        <v>0</v>
      </c>
      <c r="M22" s="241">
        <v>0</v>
      </c>
      <c r="N22" s="241">
        <v>0</v>
      </c>
      <c r="O22" s="241">
        <v>9.327</v>
      </c>
      <c r="P22" s="241">
        <v>9.327</v>
      </c>
      <c r="Q22" t="s">
        <v>589</v>
      </c>
    </row>
    <row r="23" spans="1:17" x14ac:dyDescent="0.3">
      <c r="A23" s="645" t="s">
        <v>149</v>
      </c>
      <c r="B23" s="213"/>
      <c r="C23" s="213"/>
      <c r="D23" s="241">
        <v>149.97300000000001</v>
      </c>
      <c r="E23" s="241">
        <v>2.5999999999999999E-2</v>
      </c>
      <c r="F23" s="241">
        <v>0</v>
      </c>
      <c r="G23" s="241">
        <v>0</v>
      </c>
      <c r="H23" s="241">
        <v>0</v>
      </c>
      <c r="I23" s="241">
        <v>0</v>
      </c>
      <c r="J23" s="241">
        <v>0</v>
      </c>
      <c r="K23" s="241">
        <v>0</v>
      </c>
      <c r="L23" s="241">
        <v>0</v>
      </c>
      <c r="M23" s="241">
        <v>0</v>
      </c>
      <c r="N23" s="241">
        <v>0</v>
      </c>
      <c r="O23" s="241">
        <v>2.5999999999999999E-2</v>
      </c>
      <c r="P23" s="241">
        <v>2.5999999999999999E-2</v>
      </c>
      <c r="Q23" t="s">
        <v>51</v>
      </c>
    </row>
    <row r="24" spans="1:17" x14ac:dyDescent="0.3">
      <c r="A24" s="645" t="s">
        <v>590</v>
      </c>
      <c r="B24" s="213"/>
      <c r="C24" s="213"/>
      <c r="D24" s="241">
        <v>135.41999999999999</v>
      </c>
      <c r="E24" s="241">
        <v>72.537999999999997</v>
      </c>
      <c r="F24" s="241">
        <v>10.331</v>
      </c>
      <c r="G24" s="241">
        <v>4.2670000000000003</v>
      </c>
      <c r="H24" s="241">
        <v>1.347</v>
      </c>
      <c r="I24" s="241">
        <v>0.67400000000000004</v>
      </c>
      <c r="J24" s="241">
        <v>0</v>
      </c>
      <c r="K24" s="241">
        <v>0</v>
      </c>
      <c r="L24" s="241">
        <v>0</v>
      </c>
      <c r="M24" s="241">
        <v>0</v>
      </c>
      <c r="N24" s="241">
        <v>0</v>
      </c>
      <c r="O24" s="241">
        <v>89.156999999999996</v>
      </c>
      <c r="P24" s="241">
        <v>89.156999999999996</v>
      </c>
      <c r="Q24" t="s">
        <v>591</v>
      </c>
    </row>
    <row r="25" spans="1:17" x14ac:dyDescent="0.3">
      <c r="A25" s="645" t="s">
        <v>592</v>
      </c>
      <c r="B25" s="213"/>
      <c r="C25" s="213"/>
      <c r="D25" s="241"/>
      <c r="E25" s="241"/>
      <c r="F25" s="241"/>
      <c r="G25" s="241"/>
      <c r="H25" s="241"/>
      <c r="I25" s="241"/>
      <c r="J25" s="241"/>
      <c r="K25" s="241"/>
      <c r="L25" s="241"/>
      <c r="M25" s="241"/>
      <c r="N25" s="241"/>
      <c r="O25" s="241"/>
      <c r="P25" s="241"/>
    </row>
    <row r="26" spans="1:17" x14ac:dyDescent="0.3">
      <c r="A26" s="645" t="s">
        <v>593</v>
      </c>
      <c r="B26" s="213"/>
      <c r="C26" s="213"/>
      <c r="D26" s="241">
        <v>40.831000000000003</v>
      </c>
      <c r="E26" s="241">
        <v>79.391999999999996</v>
      </c>
      <c r="F26" s="241">
        <v>47.442999999999998</v>
      </c>
      <c r="G26" s="241">
        <v>4.7220000000000004</v>
      </c>
      <c r="H26" s="241">
        <v>0</v>
      </c>
      <c r="I26" s="241">
        <v>0</v>
      </c>
      <c r="J26" s="241">
        <v>0</v>
      </c>
      <c r="K26" s="241">
        <v>0</v>
      </c>
      <c r="L26" s="241">
        <v>0</v>
      </c>
      <c r="M26" s="241">
        <v>0</v>
      </c>
      <c r="N26" s="241">
        <v>0</v>
      </c>
      <c r="O26" s="241">
        <v>131.55699999999999</v>
      </c>
      <c r="P26" s="241">
        <v>131.55699999999999</v>
      </c>
      <c r="Q26" t="s">
        <v>133</v>
      </c>
    </row>
    <row r="27" spans="1:17" x14ac:dyDescent="0.3">
      <c r="A27" s="645" t="s">
        <v>594</v>
      </c>
      <c r="B27" s="213"/>
      <c r="C27" s="213"/>
      <c r="D27" s="241">
        <v>58.054000000000002</v>
      </c>
      <c r="E27" s="241">
        <v>14.755000000000001</v>
      </c>
      <c r="F27" s="241">
        <v>3.4750000000000001</v>
      </c>
      <c r="G27" s="241">
        <v>3.9249999999999998</v>
      </c>
      <c r="H27" s="241">
        <v>4.375</v>
      </c>
      <c r="I27" s="241">
        <v>4.375</v>
      </c>
      <c r="J27" s="241">
        <v>4.5</v>
      </c>
      <c r="K27" s="241">
        <v>4.5</v>
      </c>
      <c r="L27" s="241">
        <v>4.5</v>
      </c>
      <c r="M27" s="241">
        <v>4.5</v>
      </c>
      <c r="N27" s="241">
        <v>4.5</v>
      </c>
      <c r="O27" s="241">
        <v>30.905000000000001</v>
      </c>
      <c r="P27" s="241">
        <v>53.405000000000001</v>
      </c>
    </row>
    <row r="28" spans="1:17" x14ac:dyDescent="0.3">
      <c r="A28" s="645" t="s">
        <v>595</v>
      </c>
      <c r="B28" s="213"/>
      <c r="C28" s="213"/>
      <c r="D28" s="241">
        <v>47.372999999999998</v>
      </c>
      <c r="E28" s="241">
        <v>-46.081000000000003</v>
      </c>
      <c r="F28" s="241">
        <v>0</v>
      </c>
      <c r="G28" s="241">
        <v>0</v>
      </c>
      <c r="H28" s="241">
        <v>0</v>
      </c>
      <c r="I28" s="241">
        <v>0</v>
      </c>
      <c r="J28" s="241">
        <v>0</v>
      </c>
      <c r="K28" s="241">
        <v>0</v>
      </c>
      <c r="L28" s="241">
        <v>0</v>
      </c>
      <c r="M28" s="241">
        <v>0</v>
      </c>
      <c r="N28" s="241">
        <v>0</v>
      </c>
      <c r="O28" s="241">
        <v>-46.081000000000003</v>
      </c>
      <c r="P28" s="241">
        <v>-46.081000000000003</v>
      </c>
      <c r="Q28" t="s">
        <v>55</v>
      </c>
    </row>
    <row r="29" spans="1:17" x14ac:dyDescent="0.3">
      <c r="A29" s="645" t="s">
        <v>596</v>
      </c>
      <c r="B29" s="213"/>
      <c r="C29" s="213"/>
      <c r="D29" s="241">
        <v>24.475000000000001</v>
      </c>
      <c r="E29" s="241">
        <v>32.784999999999997</v>
      </c>
      <c r="F29" s="241">
        <v>8.4600000000000009</v>
      </c>
      <c r="G29" s="241">
        <v>0</v>
      </c>
      <c r="H29" s="241">
        <v>0</v>
      </c>
      <c r="I29" s="241">
        <v>0</v>
      </c>
      <c r="J29" s="241">
        <v>0</v>
      </c>
      <c r="K29" s="241">
        <v>0</v>
      </c>
      <c r="L29" s="241">
        <v>0</v>
      </c>
      <c r="M29" s="241">
        <v>0</v>
      </c>
      <c r="N29" s="241">
        <v>0</v>
      </c>
      <c r="O29" s="241">
        <v>41.244999999999997</v>
      </c>
      <c r="P29" s="241">
        <v>41.244999999999997</v>
      </c>
      <c r="Q29" t="s">
        <v>597</v>
      </c>
    </row>
    <row r="30" spans="1:17" x14ac:dyDescent="0.3">
      <c r="A30" s="645" t="s">
        <v>598</v>
      </c>
      <c r="B30" s="213"/>
      <c r="C30" s="213"/>
      <c r="D30" s="241">
        <v>27.5</v>
      </c>
      <c r="E30" s="241">
        <v>0.86</v>
      </c>
      <c r="F30" s="241">
        <v>-0.22</v>
      </c>
      <c r="G30" s="241">
        <v>-0.49</v>
      </c>
      <c r="H30" s="241">
        <v>-0.56000000000000005</v>
      </c>
      <c r="I30" s="241">
        <v>-0.98</v>
      </c>
      <c r="J30" s="241">
        <v>-0.76</v>
      </c>
      <c r="K30" s="241">
        <v>-0.74</v>
      </c>
      <c r="L30" s="241">
        <v>-0.72</v>
      </c>
      <c r="M30" s="241">
        <v>-0.7</v>
      </c>
      <c r="N30" s="241">
        <v>-0.69</v>
      </c>
      <c r="O30" s="241">
        <v>-1.39</v>
      </c>
      <c r="P30" s="241">
        <v>-5</v>
      </c>
      <c r="Q30" t="s">
        <v>52</v>
      </c>
    </row>
    <row r="31" spans="1:17" x14ac:dyDescent="0.3">
      <c r="A31" s="645" t="s">
        <v>150</v>
      </c>
      <c r="B31" s="213"/>
      <c r="C31" s="213"/>
      <c r="D31" s="241">
        <v>11.407999999999999</v>
      </c>
      <c r="E31" s="241">
        <v>10.763</v>
      </c>
      <c r="F31" s="241">
        <v>5.7809999999999997</v>
      </c>
      <c r="G31" s="241">
        <v>0.92300000000000004</v>
      </c>
      <c r="H31" s="241">
        <v>0.52300000000000002</v>
      </c>
      <c r="I31" s="241">
        <v>0.43099999999999999</v>
      </c>
      <c r="J31" s="241">
        <v>0.246</v>
      </c>
      <c r="K31" s="241">
        <v>0</v>
      </c>
      <c r="L31" s="241">
        <v>0</v>
      </c>
      <c r="M31" s="241">
        <v>0</v>
      </c>
      <c r="N31" s="241">
        <v>0</v>
      </c>
      <c r="O31" s="241">
        <v>18.420999999999999</v>
      </c>
      <c r="P31" s="241">
        <v>18.667000000000002</v>
      </c>
      <c r="Q31" t="s">
        <v>599</v>
      </c>
    </row>
    <row r="32" spans="1:17" x14ac:dyDescent="0.3">
      <c r="A32" s="645" t="s">
        <v>600</v>
      </c>
      <c r="B32" s="213"/>
      <c r="C32" s="213"/>
      <c r="D32" s="241">
        <v>99.444000000000003</v>
      </c>
      <c r="E32" s="241">
        <v>61.634</v>
      </c>
      <c r="F32" s="241">
        <v>23.815000000000001</v>
      </c>
      <c r="G32" s="241">
        <v>7.35</v>
      </c>
      <c r="H32" s="241">
        <v>4.4029999999999996</v>
      </c>
      <c r="I32" s="241">
        <v>1.663</v>
      </c>
      <c r="J32" s="241">
        <v>0.74399999999999999</v>
      </c>
      <c r="K32" s="241">
        <v>0.65500000000000003</v>
      </c>
      <c r="L32" s="241">
        <v>0.68799999999999994</v>
      </c>
      <c r="M32" s="241">
        <v>10.603</v>
      </c>
      <c r="N32" s="241">
        <v>-35.328000000000003</v>
      </c>
      <c r="O32" s="241">
        <v>98.864999999999995</v>
      </c>
      <c r="P32" s="241">
        <v>76.227000000000004</v>
      </c>
      <c r="Q32" t="s">
        <v>601</v>
      </c>
    </row>
    <row r="33" spans="1:16" x14ac:dyDescent="0.3">
      <c r="A33" s="645"/>
      <c r="B33" s="213"/>
      <c r="C33" s="213"/>
      <c r="D33" s="241"/>
      <c r="E33" s="241"/>
      <c r="F33" s="241"/>
      <c r="G33" s="241"/>
      <c r="H33" s="241"/>
      <c r="I33" s="241"/>
      <c r="J33" s="241"/>
      <c r="K33" s="241"/>
      <c r="L33" s="241"/>
      <c r="M33" s="241"/>
      <c r="N33" s="241"/>
      <c r="O33" s="241"/>
      <c r="P33" s="241"/>
    </row>
    <row r="34" spans="1:16" x14ac:dyDescent="0.3">
      <c r="A34" s="1027"/>
      <c r="B34" s="1027"/>
      <c r="C34" s="1027" t="s">
        <v>359</v>
      </c>
      <c r="D34" s="1028">
        <v>1777.13</v>
      </c>
      <c r="E34" s="1028">
        <v>307.48399999999998</v>
      </c>
      <c r="F34" s="1028">
        <v>99.084999999999994</v>
      </c>
      <c r="G34" s="1028">
        <v>20.696999999999999</v>
      </c>
      <c r="H34" s="1028">
        <v>10.087999999999999</v>
      </c>
      <c r="I34" s="1028">
        <v>6.1630000000000003</v>
      </c>
      <c r="J34" s="1028">
        <v>4.7300000000000004</v>
      </c>
      <c r="K34" s="1028">
        <v>4.415</v>
      </c>
      <c r="L34" s="1028">
        <v>4.468</v>
      </c>
      <c r="M34" s="1028">
        <v>14.403</v>
      </c>
      <c r="N34" s="1028">
        <v>-31.518000000000001</v>
      </c>
      <c r="O34" s="1028">
        <v>443.517</v>
      </c>
      <c r="P34" s="1028">
        <v>440.01499999999999</v>
      </c>
    </row>
    <row r="35" spans="1:16" x14ac:dyDescent="0.3">
      <c r="A35" s="213"/>
      <c r="B35" s="213"/>
      <c r="C35" s="213"/>
      <c r="D35" s="1025"/>
      <c r="E35" s="467"/>
      <c r="F35" s="645"/>
      <c r="G35" s="645"/>
      <c r="H35" s="645"/>
      <c r="I35" s="645"/>
      <c r="J35" s="645"/>
      <c r="K35" s="645"/>
      <c r="L35" s="645"/>
      <c r="M35" s="645"/>
      <c r="N35" s="645"/>
      <c r="O35" s="645"/>
      <c r="P35" s="645"/>
    </row>
    <row r="36" spans="1:16" x14ac:dyDescent="0.3">
      <c r="A36" s="1029" t="s">
        <v>602</v>
      </c>
      <c r="B36" s="1029"/>
      <c r="C36" s="1029"/>
      <c r="D36" s="1020"/>
      <c r="E36" s="1029"/>
      <c r="F36" s="1029"/>
      <c r="G36" s="1029"/>
      <c r="H36" s="1029"/>
      <c r="I36" s="1029"/>
      <c r="J36" s="1029"/>
      <c r="K36" s="1029"/>
      <c r="L36" s="1029"/>
      <c r="M36" s="1029"/>
      <c r="N36" s="1029"/>
      <c r="O36" s="1029"/>
      <c r="P36" s="1029"/>
    </row>
    <row r="37" spans="1:16" x14ac:dyDescent="0.3">
      <c r="A37" s="1029"/>
      <c r="B37" s="1029"/>
      <c r="C37" s="1029"/>
      <c r="D37" s="1020"/>
      <c r="E37" s="1029"/>
      <c r="F37" s="1029"/>
      <c r="G37" s="1029"/>
      <c r="H37" s="1029"/>
      <c r="I37" s="1029"/>
      <c r="J37" s="1029"/>
      <c r="K37" s="1029"/>
      <c r="L37" s="1029"/>
      <c r="M37" s="1029"/>
      <c r="N37" s="1029"/>
      <c r="O37" s="1029"/>
      <c r="P37" s="1029"/>
    </row>
    <row r="38" spans="1:16" x14ac:dyDescent="0.3">
      <c r="A38" s="1431" t="s">
        <v>603</v>
      </c>
      <c r="B38" s="1431"/>
      <c r="C38" s="1431"/>
      <c r="D38" s="1431"/>
      <c r="E38" s="1431"/>
      <c r="F38" s="1431"/>
      <c r="G38" s="1431"/>
      <c r="H38" s="1431"/>
      <c r="I38" s="1431"/>
      <c r="J38" s="1431"/>
      <c r="K38" s="1431"/>
      <c r="L38" s="1431"/>
      <c r="M38" s="1431"/>
      <c r="N38" s="1431"/>
      <c r="O38" s="1431"/>
      <c r="P38" s="1431"/>
    </row>
    <row r="39" spans="1:16" x14ac:dyDescent="0.3">
      <c r="A39" s="1431"/>
      <c r="B39" s="1431"/>
      <c r="C39" s="1431"/>
      <c r="D39" s="1431"/>
      <c r="E39" s="1431"/>
      <c r="F39" s="1431"/>
      <c r="G39" s="1431"/>
      <c r="H39" s="1431"/>
      <c r="I39" s="1431"/>
      <c r="J39" s="1431"/>
      <c r="K39" s="1431"/>
      <c r="L39" s="1431"/>
      <c r="M39" s="1431"/>
      <c r="N39" s="1431"/>
      <c r="O39" s="1431"/>
      <c r="P39" s="1431"/>
    </row>
    <row r="40" spans="1:16" x14ac:dyDescent="0.3">
      <c r="A40" s="1431"/>
      <c r="B40" s="1431"/>
      <c r="C40" s="1431"/>
      <c r="D40" s="1431"/>
      <c r="E40" s="1431"/>
      <c r="F40" s="1431"/>
      <c r="G40" s="1431"/>
      <c r="H40" s="1431"/>
      <c r="I40" s="1431"/>
      <c r="J40" s="1431"/>
      <c r="K40" s="1431"/>
      <c r="L40" s="1431"/>
      <c r="M40" s="1431"/>
      <c r="N40" s="1431"/>
      <c r="O40" s="1431"/>
      <c r="P40" s="1431"/>
    </row>
    <row r="41" spans="1:16" x14ac:dyDescent="0.3">
      <c r="A41" s="1431"/>
      <c r="B41" s="1431"/>
      <c r="C41" s="1431"/>
      <c r="D41" s="1431"/>
      <c r="E41" s="1431"/>
      <c r="F41" s="1431"/>
      <c r="G41" s="1431"/>
      <c r="H41" s="1431"/>
      <c r="I41" s="1431"/>
      <c r="J41" s="1431"/>
      <c r="K41" s="1431"/>
      <c r="L41" s="1431"/>
      <c r="M41" s="1431"/>
      <c r="N41" s="1431"/>
      <c r="O41" s="1431"/>
      <c r="P41" s="1431"/>
    </row>
    <row r="42" spans="1:16" x14ac:dyDescent="0.3">
      <c r="A42" s="1431"/>
      <c r="B42" s="1431"/>
      <c r="C42" s="1431"/>
      <c r="D42" s="1431"/>
      <c r="E42" s="1431"/>
      <c r="F42" s="1431"/>
      <c r="G42" s="1431"/>
      <c r="H42" s="1431"/>
      <c r="I42" s="1431"/>
      <c r="J42" s="1431"/>
      <c r="K42" s="1431"/>
      <c r="L42" s="1431"/>
      <c r="M42" s="1431"/>
      <c r="N42" s="1431"/>
      <c r="O42" s="1431"/>
      <c r="P42" s="1431"/>
    </row>
    <row r="43" spans="1:16" x14ac:dyDescent="0.3">
      <c r="A43" s="210"/>
      <c r="B43" s="210"/>
      <c r="C43" s="210"/>
      <c r="D43" s="210"/>
      <c r="E43" s="210"/>
      <c r="F43" s="210"/>
      <c r="G43" s="210"/>
      <c r="H43" s="210"/>
      <c r="I43" s="210"/>
      <c r="J43" s="210"/>
      <c r="K43" s="210"/>
      <c r="L43" s="210"/>
      <c r="M43" s="210"/>
      <c r="N43" s="210"/>
      <c r="O43" s="210"/>
      <c r="P43" s="210"/>
    </row>
    <row r="44" spans="1:16" x14ac:dyDescent="0.3">
      <c r="A44" s="1314" t="s">
        <v>604</v>
      </c>
      <c r="B44" s="1314"/>
      <c r="C44" s="1314"/>
      <c r="D44" s="1314"/>
      <c r="E44" s="1314"/>
      <c r="F44" s="1314"/>
      <c r="G44" s="1314"/>
      <c r="H44" s="1314"/>
      <c r="I44" s="1314"/>
      <c r="J44" s="1314"/>
      <c r="K44" s="1314"/>
      <c r="L44" s="1314"/>
      <c r="M44" s="1314"/>
      <c r="N44" s="1314"/>
      <c r="O44" s="1314"/>
      <c r="P44" s="1314"/>
    </row>
    <row r="45" spans="1:16" x14ac:dyDescent="0.3">
      <c r="A45" s="1314"/>
      <c r="B45" s="1314"/>
      <c r="C45" s="1314"/>
      <c r="D45" s="1314"/>
      <c r="E45" s="1314"/>
      <c r="F45" s="1314"/>
      <c r="G45" s="1314"/>
      <c r="H45" s="1314"/>
      <c r="I45" s="1314"/>
      <c r="J45" s="1314"/>
      <c r="K45" s="1314"/>
      <c r="L45" s="1314"/>
      <c r="M45" s="1314"/>
      <c r="N45" s="1314"/>
      <c r="O45" s="1314"/>
      <c r="P45" s="1314"/>
    </row>
    <row r="46" spans="1:16" x14ac:dyDescent="0.3">
      <c r="A46" s="1314"/>
      <c r="B46" s="1314"/>
      <c r="C46" s="1314"/>
      <c r="D46" s="1314"/>
      <c r="E46" s="1314"/>
      <c r="F46" s="1314"/>
      <c r="G46" s="1314"/>
      <c r="H46" s="1314"/>
      <c r="I46" s="1314"/>
      <c r="J46" s="1314"/>
      <c r="K46" s="1314"/>
      <c r="L46" s="1314"/>
      <c r="M46" s="1314"/>
      <c r="N46" s="1314"/>
      <c r="O46" s="1314"/>
      <c r="P46" s="1314"/>
    </row>
    <row r="47" spans="1:16" x14ac:dyDescent="0.3">
      <c r="A47" s="1029"/>
      <c r="B47" s="1029"/>
      <c r="C47" s="1029"/>
      <c r="D47" s="1020"/>
      <c r="E47" s="1029"/>
      <c r="F47" s="1029"/>
      <c r="G47" s="1029"/>
      <c r="H47" s="1029"/>
      <c r="I47" s="1029"/>
      <c r="J47" s="1029"/>
      <c r="K47" s="1029"/>
      <c r="L47" s="1029"/>
      <c r="M47" s="1029"/>
      <c r="N47" s="1029"/>
      <c r="O47" s="1029"/>
      <c r="P47" s="1029"/>
    </row>
    <row r="48" spans="1:16" x14ac:dyDescent="0.3">
      <c r="A48" s="1429" t="s">
        <v>605</v>
      </c>
      <c r="B48" s="1430"/>
      <c r="C48" s="1430"/>
      <c r="D48" s="1430"/>
      <c r="E48" s="1430"/>
      <c r="F48" s="1430"/>
      <c r="G48" s="1430"/>
      <c r="H48" s="1430"/>
      <c r="I48" s="1430"/>
      <c r="J48" s="1430"/>
      <c r="K48" s="1430"/>
      <c r="L48" s="1430"/>
      <c r="M48" s="1430"/>
      <c r="N48" s="1430"/>
      <c r="O48" s="1430"/>
      <c r="P48" s="1430"/>
    </row>
    <row r="49" spans="1:16" x14ac:dyDescent="0.3">
      <c r="A49" s="1430"/>
      <c r="B49" s="1430"/>
      <c r="C49" s="1430"/>
      <c r="D49" s="1430"/>
      <c r="E49" s="1430"/>
      <c r="F49" s="1430"/>
      <c r="G49" s="1430"/>
      <c r="H49" s="1430"/>
      <c r="I49" s="1430"/>
      <c r="J49" s="1430"/>
      <c r="K49" s="1430"/>
      <c r="L49" s="1430"/>
      <c r="M49" s="1430"/>
      <c r="N49" s="1430"/>
      <c r="O49" s="1430"/>
      <c r="P49" s="1430"/>
    </row>
    <row r="50" spans="1:16" x14ac:dyDescent="0.3">
      <c r="A50" s="1029"/>
      <c r="B50" s="1029"/>
      <c r="C50" s="1029"/>
      <c r="D50" s="1020"/>
      <c r="E50" s="1029"/>
      <c r="F50" s="1029"/>
      <c r="G50" s="1029"/>
      <c r="H50" s="1029"/>
      <c r="I50" s="1029"/>
      <c r="J50" s="1029"/>
      <c r="K50" s="1029"/>
      <c r="L50" s="1029"/>
      <c r="M50" s="1029"/>
      <c r="N50" s="1029"/>
      <c r="O50" s="1029"/>
      <c r="P50" s="1029"/>
    </row>
    <row r="51" spans="1:16" x14ac:dyDescent="0.3">
      <c r="A51" s="1425" t="s">
        <v>606</v>
      </c>
      <c r="B51" s="1425"/>
      <c r="C51" s="1425"/>
      <c r="D51" s="1425"/>
      <c r="E51" s="1425"/>
      <c r="F51" s="1425"/>
      <c r="G51" s="1425"/>
      <c r="H51" s="1425"/>
      <c r="I51" s="1425"/>
      <c r="J51" s="1425"/>
      <c r="K51" s="1425"/>
      <c r="L51" s="1425"/>
      <c r="M51" s="1425"/>
      <c r="N51" s="1425"/>
      <c r="O51" s="1425"/>
      <c r="P51" s="1425"/>
    </row>
    <row r="52" spans="1:16" x14ac:dyDescent="0.3">
      <c r="A52" s="1425"/>
      <c r="B52" s="1425"/>
      <c r="C52" s="1425"/>
      <c r="D52" s="1425"/>
      <c r="E52" s="1425"/>
      <c r="F52" s="1425"/>
      <c r="G52" s="1425"/>
      <c r="H52" s="1425"/>
      <c r="I52" s="1425"/>
      <c r="J52" s="1425"/>
      <c r="K52" s="1425"/>
      <c r="L52" s="1425"/>
      <c r="M52" s="1425"/>
      <c r="N52" s="1425"/>
      <c r="O52" s="1425"/>
      <c r="P52" s="1425"/>
    </row>
    <row r="53" spans="1:16" x14ac:dyDescent="0.3">
      <c r="A53" s="1425"/>
      <c r="B53" s="1425"/>
      <c r="C53" s="1425"/>
      <c r="D53" s="1425"/>
      <c r="E53" s="1425"/>
      <c r="F53" s="1425"/>
      <c r="G53" s="1425"/>
      <c r="H53" s="1425"/>
      <c r="I53" s="1425"/>
      <c r="J53" s="1425"/>
      <c r="K53" s="1425"/>
      <c r="L53" s="1425"/>
      <c r="M53" s="1425"/>
      <c r="N53" s="1425"/>
      <c r="O53" s="1425"/>
      <c r="P53" s="1425"/>
    </row>
    <row r="54" spans="1:16" x14ac:dyDescent="0.3">
      <c r="A54" s="1021"/>
      <c r="B54" s="1021"/>
      <c r="C54" s="1021"/>
      <c r="D54" s="1022"/>
      <c r="E54" s="1021"/>
      <c r="F54" s="1021"/>
      <c r="G54" s="1021"/>
      <c r="H54" s="1021"/>
      <c r="I54" s="1021"/>
      <c r="J54" s="1021"/>
      <c r="K54" s="1021"/>
      <c r="L54" s="1021"/>
      <c r="M54" s="1021"/>
      <c r="N54" s="1021"/>
      <c r="O54" s="1021"/>
      <c r="P54" s="1021"/>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0.77734375" defaultRowHeight="14.4" x14ac:dyDescent="0.3"/>
  <cols>
    <col min="1" max="1" width="36" customWidth="1"/>
    <col min="2" max="2" width="15.5546875" customWidth="1"/>
    <col min="15" max="15" width="19.77734375" customWidth="1"/>
    <col min="16" max="16" width="125.77734375" customWidth="1"/>
  </cols>
  <sheetData>
    <row r="1" spans="1:15" x14ac:dyDescent="0.3">
      <c r="A1" s="140" t="s">
        <v>1467</v>
      </c>
      <c r="D1" s="1038">
        <v>2022</v>
      </c>
      <c r="E1" s="1038">
        <v>2023</v>
      </c>
      <c r="F1" s="1038">
        <v>2024</v>
      </c>
      <c r="G1" s="1038">
        <v>2025</v>
      </c>
      <c r="H1" s="1038">
        <v>2026</v>
      </c>
      <c r="I1" s="1038">
        <v>2027</v>
      </c>
      <c r="J1" s="1038">
        <v>2028</v>
      </c>
      <c r="K1" s="1038">
        <v>2029</v>
      </c>
      <c r="L1" s="1038">
        <v>2030</v>
      </c>
      <c r="M1" s="1039">
        <v>2031</v>
      </c>
      <c r="N1" s="1040" t="s">
        <v>1264</v>
      </c>
      <c r="O1" s="1040" t="s">
        <v>1265</v>
      </c>
    </row>
    <row r="2" spans="1:15" x14ac:dyDescent="0.3">
      <c r="C2" s="1432" t="s">
        <v>1468</v>
      </c>
      <c r="D2" s="1432"/>
      <c r="E2" s="1432"/>
      <c r="F2" s="1432"/>
      <c r="G2" s="1432"/>
      <c r="H2" s="1432"/>
      <c r="I2" s="1432"/>
      <c r="J2" s="1432"/>
      <c r="K2" s="1432"/>
      <c r="L2" s="1432"/>
      <c r="M2" s="1432"/>
      <c r="N2" s="1432"/>
      <c r="O2" s="1432"/>
    </row>
    <row r="3" spans="1:15" x14ac:dyDescent="0.3">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3">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3">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3">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3">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3">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3">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3">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3">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3">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3">
      <c r="C42" s="1433" t="s">
        <v>1478</v>
      </c>
      <c r="D42" s="1433"/>
      <c r="E42" s="1433"/>
      <c r="F42" s="1433"/>
      <c r="G42" s="1433"/>
      <c r="H42" s="1433"/>
      <c r="I42" s="1433"/>
      <c r="J42" s="1433"/>
      <c r="K42" s="1433"/>
      <c r="L42" s="1433"/>
      <c r="M42" s="1433"/>
      <c r="N42" s="1433"/>
      <c r="O42" s="1433"/>
    </row>
    <row r="43" spans="1:15" x14ac:dyDescent="0.3">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3">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3">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1497</v>
      </c>
      <c r="B56" s="35">
        <v>60113</v>
      </c>
      <c r="C56" s="35" t="s">
        <v>1480</v>
      </c>
      <c r="D56" s="35">
        <v>0</v>
      </c>
      <c r="E56" s="35">
        <v>0</v>
      </c>
      <c r="F56" s="35">
        <v>0</v>
      </c>
      <c r="G56" s="35">
        <v>0</v>
      </c>
      <c r="H56" s="35">
        <v>850</v>
      </c>
      <c r="I56" s="181">
        <v>1350</v>
      </c>
      <c r="J56" s="181">
        <v>1400</v>
      </c>
      <c r="K56" s="181">
        <v>1200</v>
      </c>
      <c r="L56" s="181">
        <v>1050</v>
      </c>
      <c r="M56" s="35">
        <v>500</v>
      </c>
      <c r="N56" s="35">
        <v>850</v>
      </c>
      <c r="O56" s="181">
        <v>6350</v>
      </c>
    </row>
    <row r="57" spans="1:15" x14ac:dyDescent="0.3">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1041" t="s">
        <v>1499</v>
      </c>
      <c r="B60" s="1042">
        <v>10301</v>
      </c>
      <c r="C60" s="1042" t="s">
        <v>239</v>
      </c>
      <c r="D60" s="1042">
        <v>0</v>
      </c>
      <c r="E60" s="1043">
        <v>2012</v>
      </c>
      <c r="F60" s="1043">
        <v>5106</v>
      </c>
      <c r="G60" s="1043">
        <v>11125</v>
      </c>
      <c r="H60" s="1043">
        <v>16116</v>
      </c>
      <c r="I60" s="1043">
        <v>21716</v>
      </c>
      <c r="J60" s="1043">
        <v>26314</v>
      </c>
      <c r="K60" s="1043">
        <v>31218</v>
      </c>
      <c r="L60" s="1043">
        <v>34877</v>
      </c>
      <c r="M60" s="1043">
        <v>31904</v>
      </c>
      <c r="N60" s="1043">
        <v>34359</v>
      </c>
      <c r="O60" s="1044">
        <v>180388</v>
      </c>
    </row>
    <row r="61" spans="1:15" x14ac:dyDescent="0.3">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1045">
        <v>2022</v>
      </c>
      <c r="E67" s="1045">
        <v>2023</v>
      </c>
      <c r="F67" s="1045">
        <v>2024</v>
      </c>
      <c r="G67" s="1045">
        <v>2025</v>
      </c>
      <c r="H67" s="1045">
        <v>2026</v>
      </c>
      <c r="I67" s="1045">
        <v>2027</v>
      </c>
      <c r="J67" s="1045">
        <v>2028</v>
      </c>
      <c r="K67" s="1045">
        <v>2029</v>
      </c>
      <c r="L67" s="1045">
        <v>2030</v>
      </c>
      <c r="M67" s="1046">
        <v>2031</v>
      </c>
      <c r="N67" s="1047" t="s">
        <v>1444</v>
      </c>
      <c r="O67" s="1048" t="s">
        <v>1445</v>
      </c>
    </row>
    <row r="68" spans="3:15" x14ac:dyDescent="0.3">
      <c r="C68" s="1434" t="s">
        <v>1508</v>
      </c>
      <c r="D68" s="1435"/>
      <c r="E68" s="1435"/>
      <c r="F68" s="1435"/>
      <c r="G68" s="1435"/>
      <c r="H68" s="1435"/>
      <c r="I68" s="1435"/>
      <c r="J68" s="1435"/>
      <c r="K68" s="1435"/>
      <c r="L68" s="1435"/>
      <c r="M68" s="1435"/>
      <c r="N68" s="1435"/>
      <c r="O68" s="1436"/>
    </row>
    <row r="69" spans="3:15" x14ac:dyDescent="0.3">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68">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68">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68">
        <f t="shared" si="3"/>
        <v>-248219</v>
      </c>
    </row>
    <row r="73" spans="3:15" x14ac:dyDescent="0.3">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68">
        <f t="shared" si="4"/>
        <v>46384</v>
      </c>
    </row>
    <row r="74" spans="3:15" x14ac:dyDescent="0.3">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69">
        <f t="shared" si="5"/>
        <v>16463</v>
      </c>
      <c r="O74" s="170">
        <f t="shared" si="5"/>
        <v>55153</v>
      </c>
    </row>
    <row r="75" spans="3:15" x14ac:dyDescent="0.3">
      <c r="C75" s="1434" t="s">
        <v>1509</v>
      </c>
      <c r="D75" s="1435"/>
      <c r="E75" s="1435"/>
      <c r="F75" s="1435"/>
      <c r="G75" s="1435"/>
      <c r="H75" s="1435"/>
      <c r="I75" s="1435"/>
      <c r="J75" s="1435"/>
      <c r="K75" s="1435"/>
      <c r="L75" s="1435"/>
      <c r="M75" s="1435"/>
      <c r="N75" s="1435"/>
      <c r="O75" s="1436"/>
    </row>
    <row r="76" spans="3:15" x14ac:dyDescent="0.3">
      <c r="C76" s="47" t="s">
        <v>433</v>
      </c>
      <c r="D76" s="35">
        <v>0</v>
      </c>
      <c r="E76" s="35">
        <v>596</v>
      </c>
      <c r="F76" s="35">
        <v>1406</v>
      </c>
      <c r="G76" s="35">
        <v>1885</v>
      </c>
      <c r="H76" s="35">
        <v>2113</v>
      </c>
      <c r="I76" s="35">
        <v>2058</v>
      </c>
      <c r="J76" s="35">
        <v>1745</v>
      </c>
      <c r="K76" s="35">
        <v>1369</v>
      </c>
      <c r="L76" s="35">
        <v>970</v>
      </c>
      <c r="M76" s="35">
        <v>369</v>
      </c>
      <c r="N76" s="782">
        <v>6000</v>
      </c>
      <c r="O76" s="86">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68">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68">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68">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68">
        <v>24916</v>
      </c>
    </row>
    <row r="81" spans="1:16" x14ac:dyDescent="0.3">
      <c r="C81" s="47"/>
      <c r="N81" s="169"/>
      <c r="O81" s="170"/>
    </row>
    <row r="82" spans="1:16" x14ac:dyDescent="0.3">
      <c r="C82" s="1434" t="s">
        <v>1478</v>
      </c>
      <c r="D82" s="1435"/>
      <c r="E82" s="1435"/>
      <c r="F82" s="1435"/>
      <c r="G82" s="1435"/>
      <c r="H82" s="1435"/>
      <c r="I82" s="1435"/>
      <c r="J82" s="1435"/>
      <c r="K82" s="1435"/>
      <c r="L82" s="1435"/>
      <c r="M82" s="1435"/>
      <c r="N82" s="1435"/>
      <c r="O82" s="1436"/>
    </row>
    <row r="83" spans="1:16" x14ac:dyDescent="0.3">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1455</v>
      </c>
    </row>
    <row r="88" spans="1:16" x14ac:dyDescent="0.3">
      <c r="A88" s="1065" t="s">
        <v>1262</v>
      </c>
      <c r="B88" s="1066" t="s">
        <v>1263</v>
      </c>
      <c r="C88" s="1067">
        <v>2022</v>
      </c>
      <c r="D88" s="1067">
        <v>2023</v>
      </c>
      <c r="E88" s="1067">
        <v>2024</v>
      </c>
      <c r="F88" s="1067">
        <v>2025</v>
      </c>
      <c r="G88" s="1067">
        <v>2026</v>
      </c>
      <c r="H88" s="1067">
        <v>2027</v>
      </c>
      <c r="I88" s="1067">
        <v>2028</v>
      </c>
      <c r="J88" s="1067">
        <v>2029</v>
      </c>
      <c r="K88" s="1067">
        <v>2030</v>
      </c>
      <c r="L88" s="1067">
        <v>2031</v>
      </c>
      <c r="M88" s="1068" t="s">
        <v>1264</v>
      </c>
      <c r="N88" s="1068" t="s">
        <v>1265</v>
      </c>
      <c r="O88" s="1069" t="s">
        <v>1266</v>
      </c>
      <c r="P88" s="1070" t="s">
        <v>1267</v>
      </c>
    </row>
    <row r="89" spans="1:16" x14ac:dyDescent="0.3">
      <c r="A89" s="1071" t="s">
        <v>1268</v>
      </c>
      <c r="B89" s="1072" t="s">
        <v>1269</v>
      </c>
      <c r="C89" s="1073">
        <v>0</v>
      </c>
      <c r="D89" s="1073">
        <v>3</v>
      </c>
      <c r="E89" s="1073">
        <v>3</v>
      </c>
      <c r="F89" s="1073">
        <v>3</v>
      </c>
      <c r="G89" s="1073">
        <v>3</v>
      </c>
      <c r="H89" s="1073">
        <v>1</v>
      </c>
      <c r="I89" s="1073">
        <v>0</v>
      </c>
      <c r="J89" s="1073">
        <v>0</v>
      </c>
      <c r="K89" s="1073">
        <v>0</v>
      </c>
      <c r="L89" s="1073">
        <v>0</v>
      </c>
      <c r="M89" s="1073">
        <v>12</v>
      </c>
      <c r="N89" s="1073">
        <v>13</v>
      </c>
      <c r="O89" s="1074" t="s">
        <v>1270</v>
      </c>
      <c r="P89" s="1075"/>
    </row>
    <row r="90" spans="1:16" ht="24" customHeight="1" x14ac:dyDescent="0.3">
      <c r="A90" s="1071" t="s">
        <v>1271</v>
      </c>
      <c r="B90" s="1072" t="s">
        <v>1272</v>
      </c>
      <c r="C90" s="1073">
        <v>0</v>
      </c>
      <c r="D90" s="1073">
        <v>65</v>
      </c>
      <c r="E90" s="1073">
        <v>1360</v>
      </c>
      <c r="F90" s="1073">
        <v>2430</v>
      </c>
      <c r="G90" s="1073">
        <v>2800</v>
      </c>
      <c r="H90" s="1073">
        <v>1740</v>
      </c>
      <c r="I90" s="1073">
        <v>570</v>
      </c>
      <c r="J90" s="1073">
        <v>35</v>
      </c>
      <c r="K90" s="1073">
        <v>0</v>
      </c>
      <c r="L90" s="1073">
        <v>0</v>
      </c>
      <c r="M90" s="1073">
        <v>6655</v>
      </c>
      <c r="N90" s="1073">
        <v>9000</v>
      </c>
      <c r="O90" s="1074" t="s">
        <v>1270</v>
      </c>
      <c r="P90" s="1076"/>
    </row>
    <row r="91" spans="1:16" x14ac:dyDescent="0.3">
      <c r="A91" s="1077" t="s">
        <v>1273</v>
      </c>
      <c r="B91" s="1078" t="s">
        <v>1274</v>
      </c>
      <c r="C91" s="1079">
        <v>0</v>
      </c>
      <c r="D91" s="1079">
        <v>0</v>
      </c>
      <c r="E91" s="1079">
        <v>601</v>
      </c>
      <c r="F91" s="1080">
        <v>1038</v>
      </c>
      <c r="G91" s="1080">
        <v>1251</v>
      </c>
      <c r="H91" s="1080">
        <v>1431</v>
      </c>
      <c r="I91" s="1080">
        <v>1492</v>
      </c>
      <c r="J91" s="1080">
        <v>1530</v>
      </c>
      <c r="K91" s="1080">
        <v>1567</v>
      </c>
      <c r="L91" s="1080">
        <v>1606</v>
      </c>
      <c r="M91" s="1080">
        <v>2890</v>
      </c>
      <c r="N91" s="1080">
        <v>10516</v>
      </c>
      <c r="O91" s="1081" t="s">
        <v>1275</v>
      </c>
      <c r="P91" s="1082"/>
    </row>
    <row r="92" spans="1:16" x14ac:dyDescent="0.3">
      <c r="A92" s="1083" t="s">
        <v>1276</v>
      </c>
      <c r="B92" s="1084" t="s">
        <v>1277</v>
      </c>
      <c r="C92" s="1045">
        <v>0</v>
      </c>
      <c r="D92" s="1045">
        <v>30</v>
      </c>
      <c r="E92" s="1045">
        <v>120</v>
      </c>
      <c r="F92" s="1045">
        <v>165</v>
      </c>
      <c r="G92" s="1045">
        <v>370</v>
      </c>
      <c r="H92" s="1045">
        <v>470</v>
      </c>
      <c r="I92" s="1045">
        <v>420</v>
      </c>
      <c r="J92" s="1045">
        <v>285</v>
      </c>
      <c r="K92" s="1045">
        <v>220</v>
      </c>
      <c r="L92" s="1046">
        <v>65</v>
      </c>
      <c r="M92" s="1045">
        <v>685</v>
      </c>
      <c r="N92" s="1085">
        <v>2145</v>
      </c>
      <c r="O92" s="1086" t="s">
        <v>1278</v>
      </c>
      <c r="P92" s="1087" t="s">
        <v>1279</v>
      </c>
    </row>
    <row r="93" spans="1:16" x14ac:dyDescent="0.3">
      <c r="A93" s="1071" t="s">
        <v>1280</v>
      </c>
      <c r="B93" s="1072" t="s">
        <v>1281</v>
      </c>
      <c r="C93" s="1073">
        <v>0</v>
      </c>
      <c r="D93" s="1073">
        <v>2</v>
      </c>
      <c r="E93" s="1073">
        <v>10</v>
      </c>
      <c r="F93" s="1073">
        <v>25</v>
      </c>
      <c r="G93" s="1073">
        <v>28</v>
      </c>
      <c r="H93" s="1073">
        <v>17</v>
      </c>
      <c r="I93" s="1073">
        <v>11</v>
      </c>
      <c r="J93" s="1073">
        <v>4</v>
      </c>
      <c r="K93" s="1073">
        <v>2</v>
      </c>
      <c r="L93" s="1073">
        <v>1</v>
      </c>
      <c r="M93" s="1073">
        <v>65</v>
      </c>
      <c r="N93" s="1073">
        <v>100</v>
      </c>
      <c r="O93" s="1074" t="s">
        <v>1278</v>
      </c>
      <c r="P93" s="1075" t="s">
        <v>1282</v>
      </c>
    </row>
    <row r="94" spans="1:16" ht="24" customHeight="1" x14ac:dyDescent="0.3">
      <c r="A94" s="1088" t="s">
        <v>1283</v>
      </c>
      <c r="B94" s="1089" t="s">
        <v>1284</v>
      </c>
      <c r="C94" s="1073">
        <v>0</v>
      </c>
      <c r="D94" s="1073">
        <v>36</v>
      </c>
      <c r="E94" s="1073">
        <v>30</v>
      </c>
      <c r="F94" s="1073">
        <v>14</v>
      </c>
      <c r="G94" s="1073">
        <v>7</v>
      </c>
      <c r="H94" s="1073">
        <v>0</v>
      </c>
      <c r="I94" s="1073">
        <v>0</v>
      </c>
      <c r="J94" s="1073">
        <v>0</v>
      </c>
      <c r="K94" s="1073">
        <v>0</v>
      </c>
      <c r="L94" s="1073">
        <v>0</v>
      </c>
      <c r="M94" s="1073">
        <v>87</v>
      </c>
      <c r="N94" s="1073">
        <v>87</v>
      </c>
      <c r="O94" s="1074" t="s">
        <v>1278</v>
      </c>
      <c r="P94" s="1075" t="s">
        <v>1285</v>
      </c>
    </row>
    <row r="95" spans="1:16" x14ac:dyDescent="0.3">
      <c r="A95" s="1071" t="s">
        <v>1286</v>
      </c>
      <c r="B95" s="1072" t="s">
        <v>1287</v>
      </c>
      <c r="C95" s="1073">
        <v>0</v>
      </c>
      <c r="D95" s="1090">
        <v>5240</v>
      </c>
      <c r="E95" s="1090">
        <v>4175</v>
      </c>
      <c r="F95" s="1090">
        <v>5215</v>
      </c>
      <c r="G95" s="1090">
        <v>6493</v>
      </c>
      <c r="H95" s="1090">
        <v>7982</v>
      </c>
      <c r="I95" s="1090">
        <v>9820</v>
      </c>
      <c r="J95" s="1090">
        <v>11813</v>
      </c>
      <c r="K95" s="1090">
        <v>14269</v>
      </c>
      <c r="L95" s="1090">
        <v>14605</v>
      </c>
      <c r="M95" s="1090">
        <v>21123</v>
      </c>
      <c r="N95" s="1090">
        <v>79612</v>
      </c>
      <c r="O95" s="1091" t="s">
        <v>1278</v>
      </c>
      <c r="P95" s="1075"/>
    </row>
    <row r="96" spans="1:16" x14ac:dyDescent="0.3">
      <c r="A96" s="1071" t="s">
        <v>1288</v>
      </c>
      <c r="B96" s="1072" t="s">
        <v>1289</v>
      </c>
      <c r="C96" s="1092">
        <v>0</v>
      </c>
      <c r="D96" s="1092">
        <v>55</v>
      </c>
      <c r="E96" s="1092">
        <v>55</v>
      </c>
      <c r="F96" s="1092">
        <v>55</v>
      </c>
      <c r="G96" s="1092">
        <v>55</v>
      </c>
      <c r="H96" s="1092">
        <v>55</v>
      </c>
      <c r="I96" s="1092">
        <v>55</v>
      </c>
      <c r="J96" s="1092">
        <v>55</v>
      </c>
      <c r="K96" s="1092">
        <v>55</v>
      </c>
      <c r="L96" s="1092">
        <v>55</v>
      </c>
      <c r="M96" s="1092">
        <v>220</v>
      </c>
      <c r="N96" s="1092">
        <v>495</v>
      </c>
      <c r="O96" s="1093" t="s">
        <v>1278</v>
      </c>
      <c r="P96" s="1076"/>
    </row>
    <row r="97" spans="1:16" x14ac:dyDescent="0.3">
      <c r="A97" s="1071" t="s">
        <v>1290</v>
      </c>
      <c r="B97" s="1072" t="s">
        <v>1291</v>
      </c>
      <c r="C97" s="1073">
        <v>0</v>
      </c>
      <c r="D97" s="1073">
        <v>19</v>
      </c>
      <c r="E97" s="1073">
        <v>26</v>
      </c>
      <c r="F97" s="1073">
        <v>27</v>
      </c>
      <c r="G97" s="1073">
        <v>17</v>
      </c>
      <c r="H97" s="1073">
        <v>7</v>
      </c>
      <c r="I97" s="1073">
        <v>3</v>
      </c>
      <c r="J97" s="1073">
        <v>1</v>
      </c>
      <c r="K97" s="1073">
        <v>0</v>
      </c>
      <c r="L97" s="1073">
        <v>0</v>
      </c>
      <c r="M97" s="1073">
        <v>89</v>
      </c>
      <c r="N97" s="1073">
        <v>100</v>
      </c>
      <c r="O97" s="1091" t="s">
        <v>1278</v>
      </c>
      <c r="P97" s="1076"/>
    </row>
    <row r="98" spans="1:16" x14ac:dyDescent="0.3">
      <c r="A98" s="1071" t="s">
        <v>1292</v>
      </c>
      <c r="B98" s="1072" t="s">
        <v>1293</v>
      </c>
      <c r="C98" s="1073">
        <v>0</v>
      </c>
      <c r="D98" s="1073">
        <v>15</v>
      </c>
      <c r="E98" s="1073">
        <v>15</v>
      </c>
      <c r="F98" s="1073">
        <v>15</v>
      </c>
      <c r="G98" s="1073">
        <v>10</v>
      </c>
      <c r="H98" s="1073">
        <v>10</v>
      </c>
      <c r="I98" s="1073">
        <v>10</v>
      </c>
      <c r="J98" s="1073">
        <v>10</v>
      </c>
      <c r="K98" s="1073">
        <v>10</v>
      </c>
      <c r="L98" s="1073">
        <v>5</v>
      </c>
      <c r="M98" s="1073">
        <v>55</v>
      </c>
      <c r="N98" s="1073">
        <v>100</v>
      </c>
      <c r="O98" s="1074" t="s">
        <v>1278</v>
      </c>
      <c r="P98" s="1076"/>
    </row>
    <row r="99" spans="1:16" ht="36" customHeight="1" x14ac:dyDescent="0.3">
      <c r="A99" s="1071" t="s">
        <v>1294</v>
      </c>
      <c r="B99" s="1072" t="s">
        <v>1295</v>
      </c>
      <c r="C99" s="1094">
        <v>0</v>
      </c>
      <c r="D99" s="1094">
        <v>22</v>
      </c>
      <c r="E99" s="1094">
        <v>96</v>
      </c>
      <c r="F99" s="1094">
        <v>170</v>
      </c>
      <c r="G99" s="1094">
        <v>213</v>
      </c>
      <c r="H99" s="1094">
        <v>160</v>
      </c>
      <c r="I99" s="1094">
        <v>47</v>
      </c>
      <c r="J99" s="1094">
        <v>2</v>
      </c>
      <c r="K99" s="1094">
        <v>0</v>
      </c>
      <c r="L99" s="1094">
        <v>0</v>
      </c>
      <c r="M99" s="1094">
        <v>501</v>
      </c>
      <c r="N99" s="1094">
        <v>710</v>
      </c>
      <c r="O99" s="1073" t="s">
        <v>1278</v>
      </c>
      <c r="P99" s="1076"/>
    </row>
    <row r="100" spans="1:16" ht="36" customHeight="1" x14ac:dyDescent="0.3">
      <c r="A100" s="1071" t="s">
        <v>1296</v>
      </c>
      <c r="B100" s="1072" t="s">
        <v>1297</v>
      </c>
      <c r="C100" s="1095"/>
      <c r="D100" s="1095">
        <v>90</v>
      </c>
      <c r="E100" s="1095">
        <v>260</v>
      </c>
      <c r="F100" s="1095">
        <v>427</v>
      </c>
      <c r="G100" s="1095">
        <v>560</v>
      </c>
      <c r="H100" s="1095">
        <v>572</v>
      </c>
      <c r="I100" s="1095">
        <v>534</v>
      </c>
      <c r="J100" s="1095">
        <v>275</v>
      </c>
      <c r="K100" s="1095">
        <v>162</v>
      </c>
      <c r="L100" s="1095">
        <v>70</v>
      </c>
      <c r="M100" s="1095">
        <v>1347</v>
      </c>
      <c r="N100" s="1095">
        <v>2960</v>
      </c>
      <c r="O100" s="1096" t="s">
        <v>1278</v>
      </c>
      <c r="P100" s="1076"/>
    </row>
    <row r="101" spans="1:16" x14ac:dyDescent="0.3">
      <c r="A101" s="1071" t="s">
        <v>1298</v>
      </c>
      <c r="B101" s="1072" t="s">
        <v>1299</v>
      </c>
      <c r="C101" s="1073">
        <v>0</v>
      </c>
      <c r="D101" s="1073">
        <v>40</v>
      </c>
      <c r="E101" s="1073">
        <v>60</v>
      </c>
      <c r="F101" s="1073">
        <v>52</v>
      </c>
      <c r="G101" s="1073">
        <v>40</v>
      </c>
      <c r="H101" s="1073">
        <v>27</v>
      </c>
      <c r="I101" s="1073">
        <v>19</v>
      </c>
      <c r="J101" s="1073">
        <v>10</v>
      </c>
      <c r="K101" s="1073">
        <v>2</v>
      </c>
      <c r="L101" s="1073">
        <v>0</v>
      </c>
      <c r="M101" s="1073">
        <v>192</v>
      </c>
      <c r="N101" s="1073">
        <v>250</v>
      </c>
      <c r="O101" s="1074" t="s">
        <v>1278</v>
      </c>
      <c r="P101" s="1076"/>
    </row>
    <row r="102" spans="1:16" x14ac:dyDescent="0.3">
      <c r="A102" s="1088" t="s">
        <v>1300</v>
      </c>
      <c r="B102" s="1089" t="s">
        <v>1301</v>
      </c>
      <c r="C102" s="1073">
        <v>0</v>
      </c>
      <c r="D102" s="1073">
        <v>49</v>
      </c>
      <c r="E102" s="1073">
        <v>62</v>
      </c>
      <c r="F102" s="1073">
        <v>62</v>
      </c>
      <c r="G102" s="1073">
        <v>62</v>
      </c>
      <c r="H102" s="1073">
        <v>63</v>
      </c>
      <c r="I102" s="1073">
        <v>63</v>
      </c>
      <c r="J102" s="1073">
        <v>63</v>
      </c>
      <c r="K102" s="1073">
        <v>64</v>
      </c>
      <c r="L102" s="1073">
        <v>12</v>
      </c>
      <c r="M102" s="1073">
        <v>235</v>
      </c>
      <c r="N102" s="1073">
        <v>500</v>
      </c>
      <c r="O102" s="1074" t="s">
        <v>1278</v>
      </c>
      <c r="P102" s="1076"/>
    </row>
    <row r="103" spans="1:16" x14ac:dyDescent="0.3">
      <c r="A103" s="1071" t="s">
        <v>1302</v>
      </c>
      <c r="B103" s="1072" t="s">
        <v>1303</v>
      </c>
      <c r="C103" s="1073">
        <v>0</v>
      </c>
      <c r="D103" s="1073">
        <v>0</v>
      </c>
      <c r="E103" s="1073">
        <v>0</v>
      </c>
      <c r="F103" s="1073">
        <v>0</v>
      </c>
      <c r="G103" s="1073">
        <v>-20</v>
      </c>
      <c r="H103" s="1073">
        <v>-28</v>
      </c>
      <c r="I103" s="1073">
        <v>-28</v>
      </c>
      <c r="J103" s="1073">
        <v>-28</v>
      </c>
      <c r="K103" s="1073">
        <v>-28</v>
      </c>
      <c r="L103" s="1073">
        <v>-28</v>
      </c>
      <c r="M103" s="1073">
        <v>-20</v>
      </c>
      <c r="N103" s="1073">
        <v>-160</v>
      </c>
      <c r="O103" s="1074" t="s">
        <v>1278</v>
      </c>
      <c r="P103" s="1076"/>
    </row>
    <row r="104" spans="1:16" ht="24" customHeight="1" x14ac:dyDescent="0.3">
      <c r="A104" s="1071" t="s">
        <v>1304</v>
      </c>
      <c r="B104" s="1072" t="s">
        <v>1305</v>
      </c>
      <c r="C104" s="1073">
        <v>0</v>
      </c>
      <c r="D104" s="1073">
        <v>-235</v>
      </c>
      <c r="E104" s="1073">
        <v>-44</v>
      </c>
      <c r="F104" s="1073">
        <v>-22</v>
      </c>
      <c r="G104" s="1073">
        <v>-26</v>
      </c>
      <c r="H104" s="1073">
        <v>-23</v>
      </c>
      <c r="I104" s="1073">
        <v>-19</v>
      </c>
      <c r="J104" s="1073">
        <v>-41</v>
      </c>
      <c r="K104" s="1073">
        <v>-35</v>
      </c>
      <c r="L104" s="1073">
        <v>-39</v>
      </c>
      <c r="M104" s="1073">
        <v>-327</v>
      </c>
      <c r="N104" s="1073">
        <v>-484</v>
      </c>
      <c r="O104" s="1074" t="s">
        <v>1278</v>
      </c>
      <c r="P104" s="1076"/>
    </row>
    <row r="105" spans="1:16" x14ac:dyDescent="0.3">
      <c r="A105" s="1071" t="s">
        <v>1306</v>
      </c>
      <c r="B105" s="1072" t="s">
        <v>1307</v>
      </c>
      <c r="C105" s="1073">
        <v>0</v>
      </c>
      <c r="D105" s="1073">
        <v>7</v>
      </c>
      <c r="E105" s="1073">
        <v>8</v>
      </c>
      <c r="F105" s="1073">
        <v>6</v>
      </c>
      <c r="G105" s="1073">
        <v>2</v>
      </c>
      <c r="H105" s="1073">
        <v>1</v>
      </c>
      <c r="I105" s="1073">
        <v>0</v>
      </c>
      <c r="J105" s="1073">
        <v>0</v>
      </c>
      <c r="K105" s="1073">
        <v>0</v>
      </c>
      <c r="L105" s="1073">
        <v>0</v>
      </c>
      <c r="M105" s="1073">
        <v>23</v>
      </c>
      <c r="N105" s="1073">
        <v>24</v>
      </c>
      <c r="O105" s="1074" t="s">
        <v>1278</v>
      </c>
      <c r="P105" s="1076"/>
    </row>
    <row r="106" spans="1:16" ht="36" customHeight="1" x14ac:dyDescent="0.3">
      <c r="A106" s="1071" t="s">
        <v>1308</v>
      </c>
      <c r="B106" s="1072" t="s">
        <v>1309</v>
      </c>
      <c r="C106" s="1073">
        <v>0</v>
      </c>
      <c r="D106" s="1073">
        <v>50</v>
      </c>
      <c r="E106" s="1073">
        <v>77</v>
      </c>
      <c r="F106" s="1073">
        <v>87</v>
      </c>
      <c r="G106" s="1073">
        <v>81</v>
      </c>
      <c r="H106" s="1073">
        <v>50</v>
      </c>
      <c r="I106" s="1073">
        <v>30</v>
      </c>
      <c r="J106" s="1073">
        <v>10</v>
      </c>
      <c r="K106" s="1073">
        <v>0</v>
      </c>
      <c r="L106" s="1073">
        <v>0</v>
      </c>
      <c r="M106" s="1073">
        <v>295</v>
      </c>
      <c r="N106" s="1073">
        <v>385</v>
      </c>
      <c r="O106" s="1074" t="s">
        <v>1278</v>
      </c>
      <c r="P106" s="1076"/>
    </row>
    <row r="107" spans="1:16" x14ac:dyDescent="0.3">
      <c r="A107" s="1088" t="s">
        <v>1310</v>
      </c>
      <c r="B107" s="1089" t="s">
        <v>1311</v>
      </c>
      <c r="C107" s="1073">
        <v>0</v>
      </c>
      <c r="D107" s="1073">
        <v>3</v>
      </c>
      <c r="E107" s="1073">
        <v>2</v>
      </c>
      <c r="F107" s="1073">
        <v>0</v>
      </c>
      <c r="G107" s="1073">
        <v>0</v>
      </c>
      <c r="H107" s="1073">
        <v>0</v>
      </c>
      <c r="I107" s="1073">
        <v>0</v>
      </c>
      <c r="J107" s="1073">
        <v>0</v>
      </c>
      <c r="K107" s="1073">
        <v>0</v>
      </c>
      <c r="L107" s="1073">
        <v>0</v>
      </c>
      <c r="M107" s="1073">
        <v>5</v>
      </c>
      <c r="N107" s="1073">
        <v>5</v>
      </c>
      <c r="O107" s="1074" t="s">
        <v>1312</v>
      </c>
      <c r="P107" s="1076"/>
    </row>
    <row r="108" spans="1:16" x14ac:dyDescent="0.3">
      <c r="A108" s="1088" t="s">
        <v>1313</v>
      </c>
      <c r="B108" s="1089" t="s">
        <v>1314</v>
      </c>
      <c r="C108" s="1073">
        <v>0</v>
      </c>
      <c r="D108" s="1073">
        <v>70</v>
      </c>
      <c r="E108" s="1073">
        <v>80</v>
      </c>
      <c r="F108" s="1073">
        <v>62</v>
      </c>
      <c r="G108" s="1073">
        <v>25</v>
      </c>
      <c r="H108" s="1073">
        <v>13</v>
      </c>
      <c r="I108" s="1073">
        <v>0</v>
      </c>
      <c r="J108" s="1073">
        <v>0</v>
      </c>
      <c r="K108" s="1073">
        <v>0</v>
      </c>
      <c r="L108" s="1073">
        <v>0</v>
      </c>
      <c r="M108" s="1073">
        <v>237</v>
      </c>
      <c r="N108" s="1073">
        <v>250</v>
      </c>
      <c r="O108" s="1074" t="s">
        <v>1312</v>
      </c>
      <c r="P108" s="1076"/>
    </row>
    <row r="109" spans="1:16" ht="24" customHeight="1" x14ac:dyDescent="0.3">
      <c r="A109" s="1088" t="s">
        <v>1315</v>
      </c>
      <c r="B109" s="1089" t="s">
        <v>1316</v>
      </c>
      <c r="C109" s="1092">
        <v>0</v>
      </c>
      <c r="D109" s="1092">
        <v>33</v>
      </c>
      <c r="E109" s="1092">
        <v>54</v>
      </c>
      <c r="F109" s="1092">
        <v>37</v>
      </c>
      <c r="G109" s="1092">
        <v>16</v>
      </c>
      <c r="H109" s="1092">
        <v>0</v>
      </c>
      <c r="I109" s="1092">
        <v>0</v>
      </c>
      <c r="J109" s="1092">
        <v>0</v>
      </c>
      <c r="K109" s="1092">
        <v>0</v>
      </c>
      <c r="L109" s="1092">
        <v>0</v>
      </c>
      <c r="M109" s="1092">
        <v>140</v>
      </c>
      <c r="N109" s="1092">
        <v>140</v>
      </c>
      <c r="O109" s="1074" t="s">
        <v>1278</v>
      </c>
      <c r="P109" s="1076"/>
    </row>
    <row r="110" spans="1:16" x14ac:dyDescent="0.3">
      <c r="A110" s="1071" t="s">
        <v>1317</v>
      </c>
      <c r="B110" s="1072" t="s">
        <v>1318</v>
      </c>
      <c r="C110" s="1073">
        <v>0</v>
      </c>
      <c r="D110" s="1073">
        <v>40</v>
      </c>
      <c r="E110" s="1073">
        <v>40</v>
      </c>
      <c r="F110" s="1073">
        <v>30</v>
      </c>
      <c r="G110" s="1073">
        <v>10</v>
      </c>
      <c r="H110" s="1073">
        <v>5</v>
      </c>
      <c r="I110" s="1073">
        <v>0</v>
      </c>
      <c r="J110" s="1073">
        <v>0</v>
      </c>
      <c r="K110" s="1073">
        <v>0</v>
      </c>
      <c r="L110" s="1073">
        <v>0</v>
      </c>
      <c r="M110" s="1073">
        <v>120</v>
      </c>
      <c r="N110" s="1073">
        <v>125</v>
      </c>
      <c r="O110" s="1074" t="s">
        <v>1278</v>
      </c>
      <c r="P110" s="1076"/>
    </row>
    <row r="111" spans="1:16" x14ac:dyDescent="0.3">
      <c r="A111" s="1088" t="s">
        <v>1319</v>
      </c>
      <c r="B111" s="1072" t="s">
        <v>1320</v>
      </c>
      <c r="C111" s="1073">
        <v>0</v>
      </c>
      <c r="D111" s="1073">
        <v>5</v>
      </c>
      <c r="E111" s="1073">
        <v>8</v>
      </c>
      <c r="F111" s="1073">
        <v>8</v>
      </c>
      <c r="G111" s="1073">
        <v>8</v>
      </c>
      <c r="H111" s="1073">
        <v>4</v>
      </c>
      <c r="I111" s="1073">
        <v>0</v>
      </c>
      <c r="J111" s="1073">
        <v>0</v>
      </c>
      <c r="K111" s="1073">
        <v>0</v>
      </c>
      <c r="L111" s="1073">
        <v>0</v>
      </c>
      <c r="M111" s="1073">
        <v>29</v>
      </c>
      <c r="N111" s="1073">
        <v>33</v>
      </c>
      <c r="O111" s="1074" t="s">
        <v>1278</v>
      </c>
      <c r="P111" s="1076"/>
    </row>
    <row r="112" spans="1:16" x14ac:dyDescent="0.3">
      <c r="A112" s="1071" t="s">
        <v>1321</v>
      </c>
      <c r="B112" s="1089" t="s">
        <v>1322</v>
      </c>
      <c r="C112" s="1073">
        <v>0</v>
      </c>
      <c r="D112" s="1073">
        <v>3</v>
      </c>
      <c r="E112" s="1073">
        <v>8</v>
      </c>
      <c r="F112" s="1073">
        <v>8</v>
      </c>
      <c r="G112" s="1073">
        <v>8</v>
      </c>
      <c r="H112" s="1073">
        <v>3</v>
      </c>
      <c r="I112" s="1073">
        <v>0</v>
      </c>
      <c r="J112" s="1073">
        <v>0</v>
      </c>
      <c r="K112" s="1073">
        <v>0</v>
      </c>
      <c r="L112" s="1073">
        <v>0</v>
      </c>
      <c r="M112" s="1073">
        <v>27</v>
      </c>
      <c r="N112" s="1073">
        <v>30</v>
      </c>
      <c r="O112" s="1074" t="s">
        <v>1278</v>
      </c>
      <c r="P112" s="1076"/>
    </row>
    <row r="113" spans="1:16" ht="24" customHeight="1" x14ac:dyDescent="0.3">
      <c r="A113" s="1071" t="s">
        <v>1323</v>
      </c>
      <c r="B113" s="1072" t="s">
        <v>1324</v>
      </c>
      <c r="C113" s="1092">
        <v>0</v>
      </c>
      <c r="D113" s="1092">
        <v>165</v>
      </c>
      <c r="E113" s="1092">
        <v>165</v>
      </c>
      <c r="F113" s="1092">
        <v>230</v>
      </c>
      <c r="G113" s="1092">
        <v>340</v>
      </c>
      <c r="H113" s="1092">
        <v>490</v>
      </c>
      <c r="I113" s="1092">
        <v>540</v>
      </c>
      <c r="J113" s="1092">
        <v>640</v>
      </c>
      <c r="K113" s="1092">
        <v>475</v>
      </c>
      <c r="L113" s="1092">
        <v>330</v>
      </c>
      <c r="M113" s="1092">
        <v>900</v>
      </c>
      <c r="N113" s="1092">
        <v>3375</v>
      </c>
      <c r="O113" s="1091" t="s">
        <v>1278</v>
      </c>
      <c r="P113" s="1076"/>
    </row>
    <row r="114" spans="1:16" ht="24" customHeight="1" x14ac:dyDescent="0.3">
      <c r="A114" s="1097" t="s">
        <v>1294</v>
      </c>
      <c r="B114" s="1098" t="s">
        <v>1325</v>
      </c>
      <c r="C114" s="1073">
        <v>0</v>
      </c>
      <c r="D114" s="1073">
        <v>195</v>
      </c>
      <c r="E114" s="1073">
        <v>448</v>
      </c>
      <c r="F114" s="1073">
        <v>641</v>
      </c>
      <c r="G114" s="1073">
        <v>716</v>
      </c>
      <c r="H114" s="1073">
        <v>681</v>
      </c>
      <c r="I114" s="1073">
        <v>528</v>
      </c>
      <c r="J114" s="1073">
        <v>421</v>
      </c>
      <c r="K114" s="1073">
        <v>323</v>
      </c>
      <c r="L114" s="1073">
        <v>23</v>
      </c>
      <c r="M114" s="1090">
        <v>2000</v>
      </c>
      <c r="N114" s="1090">
        <v>3976</v>
      </c>
      <c r="O114" s="1091" t="s">
        <v>1278</v>
      </c>
      <c r="P114" s="1099"/>
    </row>
    <row r="115" spans="1:16" ht="30" customHeight="1" x14ac:dyDescent="0.3">
      <c r="A115" s="1083" t="s">
        <v>1326</v>
      </c>
      <c r="B115" s="1084" t="s">
        <v>1327</v>
      </c>
      <c r="C115" s="1100">
        <v>0</v>
      </c>
      <c r="D115" s="1100">
        <v>20</v>
      </c>
      <c r="E115" s="1100">
        <v>57</v>
      </c>
      <c r="F115" s="1100">
        <v>96</v>
      </c>
      <c r="G115" s="1100">
        <v>150</v>
      </c>
      <c r="H115" s="1100">
        <v>200</v>
      </c>
      <c r="I115" s="1100">
        <v>185</v>
      </c>
      <c r="J115" s="1100">
        <v>147</v>
      </c>
      <c r="K115" s="1100">
        <v>106</v>
      </c>
      <c r="L115" s="1100">
        <v>39</v>
      </c>
      <c r="M115" s="1100">
        <v>323</v>
      </c>
      <c r="N115" s="1101">
        <v>1000</v>
      </c>
      <c r="O115" s="1102" t="s">
        <v>1328</v>
      </c>
      <c r="P115" s="1103" t="s">
        <v>1329</v>
      </c>
    </row>
    <row r="116" spans="1:16" x14ac:dyDescent="0.3">
      <c r="A116" s="1088" t="s">
        <v>1330</v>
      </c>
      <c r="B116" s="1072" t="s">
        <v>1331</v>
      </c>
      <c r="C116" s="1073">
        <v>0</v>
      </c>
      <c r="D116" s="1073">
        <v>15</v>
      </c>
      <c r="E116" s="1073">
        <v>53</v>
      </c>
      <c r="F116" s="1073">
        <v>57</v>
      </c>
      <c r="G116" s="1073">
        <v>48</v>
      </c>
      <c r="H116" s="1073">
        <v>43</v>
      </c>
      <c r="I116" s="1073">
        <v>17</v>
      </c>
      <c r="J116" s="1073">
        <v>2</v>
      </c>
      <c r="K116" s="1073">
        <v>0</v>
      </c>
      <c r="L116" s="1073">
        <v>0</v>
      </c>
      <c r="M116" s="1073">
        <v>173</v>
      </c>
      <c r="N116" s="1073">
        <v>235</v>
      </c>
      <c r="O116" s="1074" t="s">
        <v>1332</v>
      </c>
      <c r="P116" s="1075" t="s">
        <v>1333</v>
      </c>
    </row>
    <row r="117" spans="1:16" x14ac:dyDescent="0.3">
      <c r="A117" s="1071" t="s">
        <v>1334</v>
      </c>
      <c r="B117" s="1072" t="s">
        <v>1335</v>
      </c>
      <c r="C117" s="1073">
        <v>0</v>
      </c>
      <c r="D117" s="1073">
        <v>15</v>
      </c>
      <c r="E117" s="1073">
        <v>53</v>
      </c>
      <c r="F117" s="1073">
        <v>57</v>
      </c>
      <c r="G117" s="1073">
        <v>48</v>
      </c>
      <c r="H117" s="1073">
        <v>43</v>
      </c>
      <c r="I117" s="1073">
        <v>17</v>
      </c>
      <c r="J117" s="1073">
        <v>2</v>
      </c>
      <c r="K117" s="1073">
        <v>0</v>
      </c>
      <c r="L117" s="1073">
        <v>0</v>
      </c>
      <c r="M117" s="1073">
        <v>173</v>
      </c>
      <c r="N117" s="1073">
        <v>235</v>
      </c>
      <c r="O117" s="1074" t="s">
        <v>1332</v>
      </c>
      <c r="P117" s="1075" t="s">
        <v>1333</v>
      </c>
    </row>
    <row r="118" spans="1:16" x14ac:dyDescent="0.3">
      <c r="A118" s="1088" t="s">
        <v>1336</v>
      </c>
      <c r="B118" s="1089" t="s">
        <v>1337</v>
      </c>
      <c r="C118" s="1073">
        <v>0</v>
      </c>
      <c r="D118" s="1073">
        <v>42</v>
      </c>
      <c r="E118" s="1073">
        <v>18</v>
      </c>
      <c r="F118" s="1073">
        <v>0</v>
      </c>
      <c r="G118" s="1073">
        <v>0</v>
      </c>
      <c r="H118" s="1073">
        <v>0</v>
      </c>
      <c r="I118" s="1073">
        <v>0</v>
      </c>
      <c r="J118" s="1073">
        <v>0</v>
      </c>
      <c r="K118" s="1073">
        <v>0</v>
      </c>
      <c r="L118" s="1073">
        <v>0</v>
      </c>
      <c r="M118" s="1073">
        <v>60</v>
      </c>
      <c r="N118" s="1073">
        <v>60</v>
      </c>
      <c r="O118" s="1074" t="s">
        <v>1328</v>
      </c>
      <c r="P118" s="1076" t="s">
        <v>1338</v>
      </c>
    </row>
    <row r="119" spans="1:16" x14ac:dyDescent="0.3">
      <c r="A119" s="1071" t="s">
        <v>1339</v>
      </c>
      <c r="B119" s="1072" t="s">
        <v>1340</v>
      </c>
      <c r="C119" s="1073">
        <v>0</v>
      </c>
      <c r="D119" s="1073">
        <v>2</v>
      </c>
      <c r="E119" s="1073">
        <v>13</v>
      </c>
      <c r="F119" s="1073">
        <v>26</v>
      </c>
      <c r="G119" s="1073">
        <v>30</v>
      </c>
      <c r="H119" s="1073">
        <v>24</v>
      </c>
      <c r="I119" s="1073">
        <v>0</v>
      </c>
      <c r="J119" s="1073">
        <v>0</v>
      </c>
      <c r="K119" s="1073">
        <v>0</v>
      </c>
      <c r="L119" s="1073">
        <v>0</v>
      </c>
      <c r="M119" s="1073">
        <v>71</v>
      </c>
      <c r="N119" s="1073">
        <v>95</v>
      </c>
      <c r="O119" s="1074" t="s">
        <v>1328</v>
      </c>
      <c r="P119" s="1075" t="s">
        <v>1341</v>
      </c>
    </row>
    <row r="120" spans="1:16" ht="36" customHeight="1" x14ac:dyDescent="0.3">
      <c r="A120" s="1071" t="s">
        <v>1342</v>
      </c>
      <c r="B120" s="1072" t="s">
        <v>1343</v>
      </c>
      <c r="C120" s="1073">
        <v>0</v>
      </c>
      <c r="D120" s="1073">
        <v>3</v>
      </c>
      <c r="E120" s="1073">
        <v>19</v>
      </c>
      <c r="F120" s="1073">
        <v>67</v>
      </c>
      <c r="G120" s="1073">
        <v>86</v>
      </c>
      <c r="H120" s="1073">
        <v>59</v>
      </c>
      <c r="I120" s="1073">
        <v>35</v>
      </c>
      <c r="J120" s="1073">
        <v>19</v>
      </c>
      <c r="K120" s="1073">
        <v>6</v>
      </c>
      <c r="L120" s="1073">
        <v>0</v>
      </c>
      <c r="M120" s="1073">
        <v>175</v>
      </c>
      <c r="N120" s="1073">
        <v>294</v>
      </c>
      <c r="O120" s="1074" t="s">
        <v>1328</v>
      </c>
      <c r="P120" s="1099" t="s">
        <v>1344</v>
      </c>
    </row>
    <row r="121" spans="1:16" x14ac:dyDescent="0.3">
      <c r="A121" s="1071" t="s">
        <v>1345</v>
      </c>
      <c r="B121" s="1072" t="s">
        <v>1346</v>
      </c>
      <c r="C121" s="1073">
        <v>0</v>
      </c>
      <c r="D121" s="1073">
        <v>65</v>
      </c>
      <c r="E121" s="1073">
        <v>150</v>
      </c>
      <c r="F121" s="1073">
        <v>290</v>
      </c>
      <c r="G121" s="1073">
        <v>290</v>
      </c>
      <c r="H121" s="1073">
        <v>290</v>
      </c>
      <c r="I121" s="1073">
        <v>285</v>
      </c>
      <c r="J121" s="1073">
        <v>250</v>
      </c>
      <c r="K121" s="1073">
        <v>220</v>
      </c>
      <c r="L121" s="1073">
        <v>160</v>
      </c>
      <c r="M121" s="1073">
        <v>795</v>
      </c>
      <c r="N121" s="1090">
        <v>2000</v>
      </c>
      <c r="O121" s="1074" t="s">
        <v>1328</v>
      </c>
      <c r="P121" s="1076"/>
    </row>
    <row r="122" spans="1:16" x14ac:dyDescent="0.3">
      <c r="A122" s="1071" t="s">
        <v>1347</v>
      </c>
      <c r="B122" s="1072" t="s">
        <v>1348</v>
      </c>
      <c r="C122" s="1073">
        <v>0</v>
      </c>
      <c r="D122" s="1073">
        <v>5</v>
      </c>
      <c r="E122" s="1073">
        <v>20</v>
      </c>
      <c r="F122" s="1073">
        <v>65</v>
      </c>
      <c r="G122" s="1073">
        <v>105</v>
      </c>
      <c r="H122" s="1073">
        <v>140</v>
      </c>
      <c r="I122" s="1073">
        <v>175</v>
      </c>
      <c r="J122" s="1073">
        <v>210</v>
      </c>
      <c r="K122" s="1073">
        <v>150</v>
      </c>
      <c r="L122" s="1073">
        <v>35</v>
      </c>
      <c r="M122" s="1073">
        <v>195</v>
      </c>
      <c r="N122" s="1073">
        <v>905</v>
      </c>
      <c r="O122" s="1104" t="s">
        <v>1328</v>
      </c>
      <c r="P122" s="1105"/>
    </row>
    <row r="123" spans="1:16" x14ac:dyDescent="0.3">
      <c r="A123" s="1071" t="s">
        <v>1349</v>
      </c>
      <c r="B123" s="1072" t="s">
        <v>1350</v>
      </c>
      <c r="C123" s="1073">
        <v>0</v>
      </c>
      <c r="D123" s="1073">
        <v>10</v>
      </c>
      <c r="E123" s="1073">
        <v>150</v>
      </c>
      <c r="F123" s="1073">
        <v>300</v>
      </c>
      <c r="G123" s="1073">
        <v>590</v>
      </c>
      <c r="H123" s="1073">
        <v>460</v>
      </c>
      <c r="I123" s="1073">
        <v>295</v>
      </c>
      <c r="J123" s="1073">
        <v>195</v>
      </c>
      <c r="K123" s="1073">
        <v>0</v>
      </c>
      <c r="L123" s="1073">
        <v>0</v>
      </c>
      <c r="M123" s="1090">
        <v>1050</v>
      </c>
      <c r="N123" s="1090">
        <v>2000</v>
      </c>
      <c r="O123" s="1074" t="s">
        <v>1328</v>
      </c>
      <c r="P123" s="1076"/>
    </row>
    <row r="124" spans="1:16" x14ac:dyDescent="0.3">
      <c r="A124" s="1071" t="s">
        <v>1351</v>
      </c>
      <c r="B124" s="1072" t="s">
        <v>1352</v>
      </c>
      <c r="C124" s="1073"/>
      <c r="D124" s="1073"/>
      <c r="E124" s="1073"/>
      <c r="F124" s="1073"/>
      <c r="G124" s="1073"/>
      <c r="H124" s="1073"/>
      <c r="I124" s="1073"/>
      <c r="J124" s="1073"/>
      <c r="K124" s="1073"/>
      <c r="L124" s="1073"/>
      <c r="M124" s="1073"/>
      <c r="N124" s="1073"/>
      <c r="O124" s="1074"/>
      <c r="P124" s="1076"/>
    </row>
    <row r="125" spans="1:16" ht="24" customHeight="1" x14ac:dyDescent="0.3">
      <c r="A125" s="1088" t="s">
        <v>1353</v>
      </c>
      <c r="B125" s="1089" t="s">
        <v>1354</v>
      </c>
      <c r="C125" s="1092">
        <v>0</v>
      </c>
      <c r="D125" s="1092">
        <v>72</v>
      </c>
      <c r="E125" s="1092">
        <v>123</v>
      </c>
      <c r="F125" s="1092">
        <v>122</v>
      </c>
      <c r="G125" s="1092">
        <v>115</v>
      </c>
      <c r="H125" s="1092">
        <v>55</v>
      </c>
      <c r="I125" s="1092">
        <v>55</v>
      </c>
      <c r="J125" s="1092">
        <v>33</v>
      </c>
      <c r="K125" s="1092">
        <v>0</v>
      </c>
      <c r="L125" s="1092">
        <v>0</v>
      </c>
      <c r="M125" s="1092">
        <v>432</v>
      </c>
      <c r="N125" s="1092">
        <v>575</v>
      </c>
      <c r="O125" s="1073" t="s">
        <v>1328</v>
      </c>
      <c r="P125" s="1076"/>
    </row>
    <row r="126" spans="1:16" x14ac:dyDescent="0.3">
      <c r="A126" s="1071" t="s">
        <v>1355</v>
      </c>
      <c r="B126" s="1072" t="s">
        <v>1356</v>
      </c>
      <c r="C126" s="1073">
        <v>0</v>
      </c>
      <c r="D126" s="1073">
        <v>1</v>
      </c>
      <c r="E126" s="1073">
        <v>2</v>
      </c>
      <c r="F126" s="1073">
        <v>2</v>
      </c>
      <c r="G126" s="1073">
        <v>2</v>
      </c>
      <c r="H126" s="1073">
        <v>2</v>
      </c>
      <c r="I126" s="1073">
        <v>2</v>
      </c>
      <c r="J126" s="1073">
        <v>2</v>
      </c>
      <c r="K126" s="1073">
        <v>2</v>
      </c>
      <c r="L126" s="1073">
        <v>1</v>
      </c>
      <c r="M126" s="1073">
        <v>7</v>
      </c>
      <c r="N126" s="1073">
        <v>16</v>
      </c>
      <c r="O126" s="1074" t="s">
        <v>1328</v>
      </c>
      <c r="P126" s="1076"/>
    </row>
    <row r="127" spans="1:16" x14ac:dyDescent="0.3">
      <c r="A127" s="1071" t="s">
        <v>1357</v>
      </c>
      <c r="B127" s="1072" t="s">
        <v>1358</v>
      </c>
      <c r="C127" s="1073">
        <v>0</v>
      </c>
      <c r="D127" s="1073">
        <v>49</v>
      </c>
      <c r="E127" s="1073">
        <v>190</v>
      </c>
      <c r="F127" s="1073">
        <v>379</v>
      </c>
      <c r="G127" s="1073">
        <v>531</v>
      </c>
      <c r="H127" s="1073">
        <v>619</v>
      </c>
      <c r="I127" s="1073">
        <v>580</v>
      </c>
      <c r="J127" s="1073">
        <v>387</v>
      </c>
      <c r="K127" s="1073">
        <v>196</v>
      </c>
      <c r="L127" s="1073">
        <v>69</v>
      </c>
      <c r="M127" s="1090">
        <v>1149</v>
      </c>
      <c r="N127" s="1090">
        <v>3000</v>
      </c>
      <c r="O127" s="1074" t="s">
        <v>1328</v>
      </c>
      <c r="P127" s="1076"/>
    </row>
    <row r="128" spans="1:16" x14ac:dyDescent="0.3">
      <c r="A128" s="1088" t="s">
        <v>1359</v>
      </c>
      <c r="B128" s="1089" t="s">
        <v>1360</v>
      </c>
      <c r="C128" s="1073">
        <v>0</v>
      </c>
      <c r="D128" s="1073">
        <v>22</v>
      </c>
      <c r="E128" s="1073">
        <v>22</v>
      </c>
      <c r="F128" s="1073">
        <v>6</v>
      </c>
      <c r="G128" s="1073">
        <v>0</v>
      </c>
      <c r="H128" s="1073">
        <v>0</v>
      </c>
      <c r="I128" s="1073">
        <v>0</v>
      </c>
      <c r="J128" s="1073">
        <v>0</v>
      </c>
      <c r="K128" s="1073">
        <v>0</v>
      </c>
      <c r="L128" s="1073">
        <v>0</v>
      </c>
      <c r="M128" s="1073">
        <v>50</v>
      </c>
      <c r="N128" s="1073">
        <v>50</v>
      </c>
      <c r="O128" s="1074" t="s">
        <v>1328</v>
      </c>
      <c r="P128" s="1075"/>
    </row>
    <row r="129" spans="1:16" x14ac:dyDescent="0.3">
      <c r="A129" s="1071" t="s">
        <v>1361</v>
      </c>
      <c r="B129" s="1072" t="s">
        <v>1362</v>
      </c>
      <c r="C129" s="1073">
        <v>0</v>
      </c>
      <c r="D129" s="1073">
        <v>30</v>
      </c>
      <c r="E129" s="1073">
        <v>30</v>
      </c>
      <c r="F129" s="1073">
        <v>40</v>
      </c>
      <c r="G129" s="1073">
        <v>15</v>
      </c>
      <c r="H129" s="1073">
        <v>5</v>
      </c>
      <c r="I129" s="1073">
        <v>5</v>
      </c>
      <c r="J129" s="1073">
        <v>0</v>
      </c>
      <c r="K129" s="1073">
        <v>0</v>
      </c>
      <c r="L129" s="1073">
        <v>0</v>
      </c>
      <c r="M129" s="1073">
        <v>115</v>
      </c>
      <c r="N129" s="1073">
        <v>125</v>
      </c>
      <c r="O129" s="1074" t="s">
        <v>1328</v>
      </c>
      <c r="P129" s="1076"/>
    </row>
    <row r="130" spans="1:16" x14ac:dyDescent="0.3">
      <c r="A130" s="1071" t="s">
        <v>1363</v>
      </c>
      <c r="B130" s="1072" t="s">
        <v>1364</v>
      </c>
      <c r="C130" s="1073">
        <v>0</v>
      </c>
      <c r="D130" s="1073">
        <v>10</v>
      </c>
      <c r="E130" s="1073">
        <v>230</v>
      </c>
      <c r="F130" s="1073">
        <v>660</v>
      </c>
      <c r="G130" s="1073">
        <v>945</v>
      </c>
      <c r="H130" s="1073">
        <v>605</v>
      </c>
      <c r="I130" s="1073">
        <v>100</v>
      </c>
      <c r="J130" s="1073">
        <v>0</v>
      </c>
      <c r="K130" s="1073">
        <v>0</v>
      </c>
      <c r="L130" s="1073">
        <v>0</v>
      </c>
      <c r="M130" s="1090">
        <v>1845</v>
      </c>
      <c r="N130" s="1090">
        <v>2550</v>
      </c>
      <c r="O130" s="1074" t="s">
        <v>1328</v>
      </c>
      <c r="P130" s="1076"/>
    </row>
    <row r="131" spans="1:16" x14ac:dyDescent="0.3">
      <c r="A131" s="1071" t="s">
        <v>1365</v>
      </c>
      <c r="B131" s="1072" t="s">
        <v>1366</v>
      </c>
      <c r="C131" s="1073">
        <v>0</v>
      </c>
      <c r="D131" s="1073">
        <v>10</v>
      </c>
      <c r="E131" s="1073">
        <v>45</v>
      </c>
      <c r="F131" s="1073">
        <v>70</v>
      </c>
      <c r="G131" s="1073">
        <v>100</v>
      </c>
      <c r="H131" s="1073">
        <v>100</v>
      </c>
      <c r="I131" s="1073">
        <v>100</v>
      </c>
      <c r="J131" s="1073">
        <v>100</v>
      </c>
      <c r="K131" s="1073">
        <v>100</v>
      </c>
      <c r="L131" s="1073">
        <v>100</v>
      </c>
      <c r="M131" s="1073">
        <v>225</v>
      </c>
      <c r="N131" s="1073">
        <v>725</v>
      </c>
      <c r="O131" s="1074" t="s">
        <v>1328</v>
      </c>
      <c r="P131" s="1076"/>
    </row>
    <row r="132" spans="1:16" x14ac:dyDescent="0.3">
      <c r="A132" s="1088" t="s">
        <v>1367</v>
      </c>
      <c r="B132" s="1089" t="s">
        <v>1368</v>
      </c>
      <c r="C132" s="1073">
        <v>0</v>
      </c>
      <c r="D132" s="1073">
        <v>14</v>
      </c>
      <c r="E132" s="1073">
        <v>11</v>
      </c>
      <c r="F132" s="1073">
        <v>0</v>
      </c>
      <c r="G132" s="1073">
        <v>0</v>
      </c>
      <c r="H132" s="1073">
        <v>0</v>
      </c>
      <c r="I132" s="1073">
        <v>0</v>
      </c>
      <c r="J132" s="1073">
        <v>0</v>
      </c>
      <c r="K132" s="1073">
        <v>0</v>
      </c>
      <c r="L132" s="1073">
        <v>0</v>
      </c>
      <c r="M132" s="1073">
        <v>25</v>
      </c>
      <c r="N132" s="1073">
        <v>25</v>
      </c>
      <c r="O132" s="1074" t="s">
        <v>1332</v>
      </c>
      <c r="P132" s="1075"/>
    </row>
    <row r="133" spans="1:16" x14ac:dyDescent="0.3">
      <c r="A133" s="1088" t="s">
        <v>1369</v>
      </c>
      <c r="B133" s="1089" t="s">
        <v>1370</v>
      </c>
      <c r="C133" s="1073">
        <v>0</v>
      </c>
      <c r="D133" s="1073">
        <v>84</v>
      </c>
      <c r="E133" s="1073">
        <v>320</v>
      </c>
      <c r="F133" s="1073">
        <v>638</v>
      </c>
      <c r="G133" s="1073">
        <v>928</v>
      </c>
      <c r="H133" s="1073">
        <v>940</v>
      </c>
      <c r="I133" s="1073">
        <v>720</v>
      </c>
      <c r="J133" s="1073">
        <v>300</v>
      </c>
      <c r="K133" s="1073">
        <v>120</v>
      </c>
      <c r="L133" s="1073">
        <v>0</v>
      </c>
      <c r="M133" s="1090">
        <v>1970</v>
      </c>
      <c r="N133" s="1090">
        <v>4050</v>
      </c>
      <c r="O133" s="1074" t="s">
        <v>1332</v>
      </c>
      <c r="P133" s="1076"/>
    </row>
    <row r="134" spans="1:16" x14ac:dyDescent="0.3">
      <c r="A134" s="1071" t="s">
        <v>1371</v>
      </c>
      <c r="B134" s="1072" t="s">
        <v>1372</v>
      </c>
      <c r="C134" s="1073">
        <v>0</v>
      </c>
      <c r="D134" s="1073">
        <v>40</v>
      </c>
      <c r="E134" s="1073">
        <v>200</v>
      </c>
      <c r="F134" s="1073">
        <v>400</v>
      </c>
      <c r="G134" s="1073">
        <v>660</v>
      </c>
      <c r="H134" s="1073">
        <v>640</v>
      </c>
      <c r="I134" s="1073">
        <v>515</v>
      </c>
      <c r="J134" s="1073">
        <v>240</v>
      </c>
      <c r="K134" s="1073">
        <v>105</v>
      </c>
      <c r="L134" s="1073">
        <v>0</v>
      </c>
      <c r="M134" s="1090">
        <v>1300</v>
      </c>
      <c r="N134" s="1090">
        <v>2800</v>
      </c>
      <c r="O134" s="1074" t="s">
        <v>1332</v>
      </c>
      <c r="P134" s="1076"/>
    </row>
    <row r="135" spans="1:16" x14ac:dyDescent="0.3">
      <c r="A135" s="1071" t="s">
        <v>1373</v>
      </c>
      <c r="B135" s="1072" t="s">
        <v>1374</v>
      </c>
      <c r="C135" s="1106">
        <v>0</v>
      </c>
      <c r="D135" s="1106">
        <v>138</v>
      </c>
      <c r="E135" s="1106">
        <v>566</v>
      </c>
      <c r="F135" s="1106">
        <v>994</v>
      </c>
      <c r="G135" s="1107">
        <v>1328</v>
      </c>
      <c r="H135" s="1107">
        <v>1791</v>
      </c>
      <c r="I135" s="1107">
        <v>2350</v>
      </c>
      <c r="J135" s="1107">
        <v>2928</v>
      </c>
      <c r="K135" s="1107">
        <v>3548</v>
      </c>
      <c r="L135" s="1107">
        <v>4162</v>
      </c>
      <c r="M135" s="1107">
        <v>3026</v>
      </c>
      <c r="N135" s="1107">
        <v>17805</v>
      </c>
      <c r="O135" s="1108" t="s">
        <v>54</v>
      </c>
      <c r="P135" s="1109"/>
    </row>
    <row r="136" spans="1:16" x14ac:dyDescent="0.3">
      <c r="A136" s="1071" t="s">
        <v>1375</v>
      </c>
      <c r="B136" s="1072" t="s">
        <v>1376</v>
      </c>
      <c r="C136" s="1106">
        <v>0</v>
      </c>
      <c r="D136" s="1106">
        <v>0</v>
      </c>
      <c r="E136" s="1106">
        <v>235</v>
      </c>
      <c r="F136" s="1106">
        <v>317</v>
      </c>
      <c r="G136" s="1106">
        <v>304</v>
      </c>
      <c r="H136" s="1106">
        <v>314</v>
      </c>
      <c r="I136" s="1106">
        <v>324</v>
      </c>
      <c r="J136" s="1106">
        <v>335</v>
      </c>
      <c r="K136" s="1106">
        <v>346</v>
      </c>
      <c r="L136" s="1106">
        <v>359</v>
      </c>
      <c r="M136" s="1106">
        <v>856</v>
      </c>
      <c r="N136" s="1107">
        <v>2534</v>
      </c>
      <c r="O136" s="1108" t="s">
        <v>54</v>
      </c>
      <c r="P136" s="1076"/>
    </row>
    <row r="137" spans="1:16" ht="24" customHeight="1" x14ac:dyDescent="0.3">
      <c r="A137" s="1071" t="s">
        <v>1377</v>
      </c>
      <c r="B137" s="1072" t="s">
        <v>1378</v>
      </c>
      <c r="C137" s="1110"/>
      <c r="D137" s="1110">
        <v>333</v>
      </c>
      <c r="E137" s="1110">
        <v>314</v>
      </c>
      <c r="F137" s="1110">
        <v>314</v>
      </c>
      <c r="G137" s="1110">
        <v>-4530</v>
      </c>
      <c r="H137" s="1110">
        <v>-9118</v>
      </c>
      <c r="I137" s="1110">
        <v>-18184</v>
      </c>
      <c r="J137" s="1110">
        <v>-20493</v>
      </c>
      <c r="K137" s="1110">
        <v>-23289</v>
      </c>
      <c r="L137" s="1110">
        <v>-24298</v>
      </c>
      <c r="M137" s="1110">
        <v>-569</v>
      </c>
      <c r="N137" s="1110">
        <v>-95951</v>
      </c>
      <c r="O137" s="1111" t="s">
        <v>55</v>
      </c>
      <c r="P137" s="1112"/>
    </row>
    <row r="138" spans="1:16" ht="36" customHeight="1" x14ac:dyDescent="0.3">
      <c r="A138" s="1071" t="s">
        <v>1373</v>
      </c>
      <c r="B138" s="1072" t="s">
        <v>1379</v>
      </c>
      <c r="C138" s="1113">
        <v>0</v>
      </c>
      <c r="D138" s="1113">
        <v>-2447</v>
      </c>
      <c r="E138" s="1113">
        <v>-3716</v>
      </c>
      <c r="F138" s="1113">
        <v>-19171</v>
      </c>
      <c r="G138" s="1113">
        <v>-7014</v>
      </c>
      <c r="H138" s="1113">
        <v>-7706</v>
      </c>
      <c r="I138" s="1113">
        <v>-8497</v>
      </c>
      <c r="J138" s="1113">
        <v>-9360</v>
      </c>
      <c r="K138" s="1113">
        <v>-10602</v>
      </c>
      <c r="L138" s="1113">
        <v>-11603</v>
      </c>
      <c r="M138" s="1113">
        <v>-32348</v>
      </c>
      <c r="N138" s="1113">
        <v>-80116</v>
      </c>
      <c r="O138" s="1111" t="s">
        <v>55</v>
      </c>
      <c r="P138" s="1076"/>
    </row>
    <row r="139" spans="1:16" x14ac:dyDescent="0.3">
      <c r="A139" s="1071" t="s">
        <v>1380</v>
      </c>
      <c r="B139" s="1072" t="s">
        <v>1381</v>
      </c>
      <c r="C139" s="1110">
        <v>0</v>
      </c>
      <c r="D139" s="1110">
        <v>53</v>
      </c>
      <c r="E139" s="1110">
        <v>1991</v>
      </c>
      <c r="F139" s="1110">
        <v>3308</v>
      </c>
      <c r="G139" s="1110">
        <v>3545</v>
      </c>
      <c r="H139" s="1110">
        <v>4537</v>
      </c>
      <c r="I139" s="1110">
        <v>4476</v>
      </c>
      <c r="J139" s="1110">
        <v>3947</v>
      </c>
      <c r="K139" s="1110">
        <v>1781</v>
      </c>
      <c r="L139" s="1110">
        <v>1462</v>
      </c>
      <c r="M139" s="1110">
        <v>8897</v>
      </c>
      <c r="N139" s="1110">
        <v>25100</v>
      </c>
      <c r="O139" s="1111" t="s">
        <v>55</v>
      </c>
      <c r="P139" s="1076"/>
    </row>
    <row r="140" spans="1:16" x14ac:dyDescent="0.3">
      <c r="A140" s="1071" t="s">
        <v>1382</v>
      </c>
      <c r="B140" s="1072" t="s">
        <v>1383</v>
      </c>
      <c r="C140" s="1114">
        <v>0</v>
      </c>
      <c r="D140" s="1114">
        <v>0</v>
      </c>
      <c r="E140" s="1114">
        <v>0</v>
      </c>
      <c r="F140" s="1114">
        <v>0</v>
      </c>
      <c r="G140" s="1114">
        <v>0</v>
      </c>
      <c r="H140" s="1115">
        <v>-16290</v>
      </c>
      <c r="I140" s="1115">
        <v>-25656</v>
      </c>
      <c r="J140" s="1115">
        <v>-23394</v>
      </c>
      <c r="K140" s="1115">
        <v>-27561</v>
      </c>
      <c r="L140" s="1115">
        <v>-29250</v>
      </c>
      <c r="M140" s="1114">
        <v>0</v>
      </c>
      <c r="N140" s="1115">
        <v>-122151</v>
      </c>
      <c r="O140" s="1111" t="s">
        <v>55</v>
      </c>
      <c r="P140" s="1076"/>
    </row>
    <row r="141" spans="1:16" ht="36" customHeight="1" x14ac:dyDescent="0.3">
      <c r="A141" s="1071" t="s">
        <v>1384</v>
      </c>
      <c r="B141" s="1072" t="s">
        <v>1385</v>
      </c>
      <c r="C141" s="1110">
        <v>0</v>
      </c>
      <c r="D141" s="1110">
        <v>-70</v>
      </c>
      <c r="E141" s="1110">
        <v>300</v>
      </c>
      <c r="F141" s="1110">
        <v>862</v>
      </c>
      <c r="G141" s="1110">
        <v>577</v>
      </c>
      <c r="H141" s="1110">
        <v>464</v>
      </c>
      <c r="I141" s="1110">
        <v>549</v>
      </c>
      <c r="J141" s="1110">
        <v>501</v>
      </c>
      <c r="K141" s="1110">
        <v>591</v>
      </c>
      <c r="L141" s="1110">
        <v>630</v>
      </c>
      <c r="M141" s="1110">
        <v>1669</v>
      </c>
      <c r="N141" s="1110">
        <v>4404</v>
      </c>
      <c r="O141" s="1111" t="s">
        <v>55</v>
      </c>
      <c r="P141" s="1076"/>
    </row>
    <row r="142" spans="1:16" x14ac:dyDescent="0.3">
      <c r="A142" s="1071" t="s">
        <v>1386</v>
      </c>
      <c r="B142" s="1072" t="s">
        <v>1387</v>
      </c>
      <c r="C142" s="1114">
        <v>0</v>
      </c>
      <c r="D142" s="1114">
        <v>0</v>
      </c>
      <c r="E142" s="1114">
        <v>195</v>
      </c>
      <c r="F142" s="1114">
        <v>230</v>
      </c>
      <c r="G142" s="1114">
        <v>248</v>
      </c>
      <c r="H142" s="1114">
        <v>266</v>
      </c>
      <c r="I142" s="1114">
        <v>311</v>
      </c>
      <c r="J142" s="1114">
        <v>281</v>
      </c>
      <c r="K142" s="1114">
        <v>327</v>
      </c>
      <c r="L142" s="1114">
        <v>347</v>
      </c>
      <c r="M142" s="1114">
        <v>673</v>
      </c>
      <c r="N142" s="1115">
        <v>2205</v>
      </c>
      <c r="O142" s="1111" t="s">
        <v>55</v>
      </c>
      <c r="P142" s="1076"/>
    </row>
    <row r="143" spans="1:16" x14ac:dyDescent="0.3">
      <c r="A143" s="1088" t="s">
        <v>1388</v>
      </c>
      <c r="B143" s="1089" t="s">
        <v>1389</v>
      </c>
      <c r="C143" s="1116">
        <v>0</v>
      </c>
      <c r="D143" s="1116">
        <v>70</v>
      </c>
      <c r="E143" s="1116">
        <v>132</v>
      </c>
      <c r="F143" s="1116">
        <v>51</v>
      </c>
      <c r="G143" s="1116">
        <v>20</v>
      </c>
      <c r="H143" s="1116">
        <v>8</v>
      </c>
      <c r="I143" s="1116">
        <v>0</v>
      </c>
      <c r="J143" s="1116">
        <v>0</v>
      </c>
      <c r="K143" s="1116">
        <v>0</v>
      </c>
      <c r="L143" s="1116">
        <v>0</v>
      </c>
      <c r="M143" s="1116">
        <v>273</v>
      </c>
      <c r="N143" s="1116">
        <v>281</v>
      </c>
      <c r="O143" s="1117" t="s">
        <v>1390</v>
      </c>
      <c r="P143" s="1076" t="s">
        <v>1391</v>
      </c>
    </row>
    <row r="144" spans="1:16" x14ac:dyDescent="0.3">
      <c r="A144" s="1088" t="s">
        <v>1392</v>
      </c>
      <c r="B144" s="1089" t="s">
        <v>1393</v>
      </c>
      <c r="C144" s="1116">
        <v>0</v>
      </c>
      <c r="D144" s="1116">
        <v>465</v>
      </c>
      <c r="E144" s="1118">
        <v>2420</v>
      </c>
      <c r="F144" s="1118">
        <v>4755</v>
      </c>
      <c r="G144" s="1118">
        <v>5980</v>
      </c>
      <c r="H144" s="1118">
        <v>4694</v>
      </c>
      <c r="I144" s="1118">
        <v>1573</v>
      </c>
      <c r="J144" s="1116">
        <v>93</v>
      </c>
      <c r="K144" s="1116">
        <v>0</v>
      </c>
      <c r="L144" s="1116">
        <v>0</v>
      </c>
      <c r="M144" s="1118">
        <v>13620</v>
      </c>
      <c r="N144" s="1118">
        <v>19980</v>
      </c>
      <c r="O144" s="1117" t="s">
        <v>1390</v>
      </c>
      <c r="P144" s="1076" t="s">
        <v>1394</v>
      </c>
    </row>
    <row r="145" spans="1:16" x14ac:dyDescent="0.3">
      <c r="A145" s="1071" t="s">
        <v>1395</v>
      </c>
      <c r="B145" s="1072" t="s">
        <v>1396</v>
      </c>
      <c r="C145" s="1116">
        <v>0</v>
      </c>
      <c r="D145" s="1116">
        <v>20</v>
      </c>
      <c r="E145" s="1116">
        <v>65</v>
      </c>
      <c r="F145" s="1116">
        <v>110</v>
      </c>
      <c r="G145" s="1116">
        <v>135</v>
      </c>
      <c r="H145" s="1116">
        <v>180</v>
      </c>
      <c r="I145" s="1116">
        <v>230</v>
      </c>
      <c r="J145" s="1116">
        <v>180</v>
      </c>
      <c r="K145" s="1116">
        <v>60</v>
      </c>
      <c r="L145" s="1116">
        <v>10</v>
      </c>
      <c r="M145" s="1116">
        <v>330</v>
      </c>
      <c r="N145" s="1116">
        <v>990</v>
      </c>
      <c r="O145" s="1117" t="s">
        <v>1390</v>
      </c>
      <c r="P145" s="1099" t="s">
        <v>1397</v>
      </c>
    </row>
    <row r="146" spans="1:16" x14ac:dyDescent="0.3">
      <c r="A146" s="1071" t="s">
        <v>1398</v>
      </c>
      <c r="B146" s="1072" t="s">
        <v>1399</v>
      </c>
      <c r="C146" s="1116">
        <v>0</v>
      </c>
      <c r="D146" s="1118">
        <v>20892</v>
      </c>
      <c r="E146" s="1118">
        <v>11288</v>
      </c>
      <c r="F146" s="1118">
        <v>9651</v>
      </c>
      <c r="G146" s="1118">
        <v>-8548</v>
      </c>
      <c r="H146" s="1116">
        <v>-463</v>
      </c>
      <c r="I146" s="1116">
        <v>0</v>
      </c>
      <c r="J146" s="1116">
        <v>0</v>
      </c>
      <c r="K146" s="1116">
        <v>0</v>
      </c>
      <c r="L146" s="1116">
        <v>0</v>
      </c>
      <c r="M146" s="1118">
        <v>33283</v>
      </c>
      <c r="N146" s="1118">
        <v>32820</v>
      </c>
      <c r="O146" s="1119" t="s">
        <v>1390</v>
      </c>
      <c r="P146" s="1076"/>
    </row>
    <row r="147" spans="1:16" x14ac:dyDescent="0.3">
      <c r="A147" s="1071" t="s">
        <v>1400</v>
      </c>
      <c r="B147" s="1072" t="s">
        <v>1401</v>
      </c>
      <c r="C147" s="1116">
        <v>0</v>
      </c>
      <c r="D147" s="1116">
        <v>24</v>
      </c>
      <c r="E147" s="1116">
        <v>65</v>
      </c>
      <c r="F147" s="1116">
        <v>112</v>
      </c>
      <c r="G147" s="1116">
        <v>130</v>
      </c>
      <c r="H147" s="1116">
        <v>98</v>
      </c>
      <c r="I147" s="1116">
        <v>56</v>
      </c>
      <c r="J147" s="1116">
        <v>15</v>
      </c>
      <c r="K147" s="1116">
        <v>0</v>
      </c>
      <c r="L147" s="1116">
        <v>0</v>
      </c>
      <c r="M147" s="1116">
        <v>331</v>
      </c>
      <c r="N147" s="1116">
        <v>500</v>
      </c>
      <c r="O147" s="1119" t="s">
        <v>1390</v>
      </c>
      <c r="P147" s="1076"/>
    </row>
    <row r="148" spans="1:16" x14ac:dyDescent="0.3">
      <c r="A148" s="1120" t="s">
        <v>1402</v>
      </c>
      <c r="B148" s="1121" t="s">
        <v>1403</v>
      </c>
      <c r="C148" s="1116">
        <v>0</v>
      </c>
      <c r="D148" s="1116">
        <v>50</v>
      </c>
      <c r="E148" s="1116">
        <v>500</v>
      </c>
      <c r="F148" s="1116">
        <v>920</v>
      </c>
      <c r="G148" s="1118">
        <v>1310</v>
      </c>
      <c r="H148" s="1118">
        <v>1680</v>
      </c>
      <c r="I148" s="1118">
        <v>1780</v>
      </c>
      <c r="J148" s="1118">
        <v>1640</v>
      </c>
      <c r="K148" s="1118">
        <v>1090</v>
      </c>
      <c r="L148" s="1116">
        <v>630</v>
      </c>
      <c r="M148" s="1118">
        <v>2780</v>
      </c>
      <c r="N148" s="1118">
        <v>9600</v>
      </c>
      <c r="O148" s="1119" t="s">
        <v>1390</v>
      </c>
      <c r="P148" s="1122"/>
    </row>
    <row r="149" spans="1:16" x14ac:dyDescent="0.3">
      <c r="A149" s="1071" t="s">
        <v>1404</v>
      </c>
      <c r="B149" s="1072" t="s">
        <v>1405</v>
      </c>
      <c r="C149" s="1116">
        <v>0</v>
      </c>
      <c r="D149" s="1116">
        <v>30</v>
      </c>
      <c r="E149" s="1116">
        <v>90</v>
      </c>
      <c r="F149" s="1116">
        <v>90</v>
      </c>
      <c r="G149" s="1116">
        <v>85</v>
      </c>
      <c r="H149" s="1116">
        <v>70</v>
      </c>
      <c r="I149" s="1116">
        <v>65</v>
      </c>
      <c r="J149" s="1116">
        <v>65</v>
      </c>
      <c r="K149" s="1116">
        <v>35</v>
      </c>
      <c r="L149" s="1116">
        <v>15</v>
      </c>
      <c r="M149" s="1116">
        <v>295</v>
      </c>
      <c r="N149" s="1116">
        <v>545</v>
      </c>
      <c r="O149" s="1119" t="s">
        <v>1390</v>
      </c>
      <c r="P149" s="1076"/>
    </row>
    <row r="150" spans="1:16" x14ac:dyDescent="0.3">
      <c r="A150" s="1071" t="s">
        <v>1406</v>
      </c>
      <c r="B150" s="1072" t="s">
        <v>1407</v>
      </c>
      <c r="C150" s="1116">
        <v>0</v>
      </c>
      <c r="D150" s="1116">
        <v>185</v>
      </c>
      <c r="E150" s="1116">
        <v>394</v>
      </c>
      <c r="F150" s="1116">
        <v>639</v>
      </c>
      <c r="G150" s="1116">
        <v>722</v>
      </c>
      <c r="H150" s="1116">
        <v>595</v>
      </c>
      <c r="I150" s="1116">
        <v>346</v>
      </c>
      <c r="J150" s="1116">
        <v>101</v>
      </c>
      <c r="K150" s="1116">
        <v>18</v>
      </c>
      <c r="L150" s="1116">
        <v>0</v>
      </c>
      <c r="M150" s="1118">
        <v>1940</v>
      </c>
      <c r="N150" s="1118">
        <v>3000</v>
      </c>
      <c r="O150" s="1117" t="s">
        <v>1390</v>
      </c>
      <c r="P150" s="1076"/>
    </row>
    <row r="151" spans="1:16" x14ac:dyDescent="0.3">
      <c r="A151" s="1071" t="s">
        <v>1408</v>
      </c>
      <c r="B151" s="1072" t="s">
        <v>1409</v>
      </c>
      <c r="C151" s="1116">
        <v>0</v>
      </c>
      <c r="D151" s="1116">
        <v>8</v>
      </c>
      <c r="E151" s="1116">
        <v>26</v>
      </c>
      <c r="F151" s="1116">
        <v>41</v>
      </c>
      <c r="G151" s="1116">
        <v>38</v>
      </c>
      <c r="H151" s="1116">
        <v>22</v>
      </c>
      <c r="I151" s="1116">
        <v>11</v>
      </c>
      <c r="J151" s="1116">
        <v>4</v>
      </c>
      <c r="K151" s="1116">
        <v>0</v>
      </c>
      <c r="L151" s="1116">
        <v>0</v>
      </c>
      <c r="M151" s="1116">
        <v>113</v>
      </c>
      <c r="N151" s="1116">
        <v>150</v>
      </c>
      <c r="O151" s="1117" t="s">
        <v>1390</v>
      </c>
      <c r="P151" s="1076"/>
    </row>
    <row r="152" spans="1:16" ht="24" customHeight="1" x14ac:dyDescent="0.3">
      <c r="A152" s="1088" t="s">
        <v>1410</v>
      </c>
      <c r="B152" s="1089" t="s">
        <v>1411</v>
      </c>
      <c r="C152" s="1123">
        <v>0</v>
      </c>
      <c r="D152" s="1124">
        <v>77</v>
      </c>
      <c r="E152" s="1124">
        <v>232</v>
      </c>
      <c r="F152" s="1124">
        <v>341</v>
      </c>
      <c r="G152" s="1124">
        <v>496</v>
      </c>
      <c r="H152" s="1124">
        <v>310</v>
      </c>
      <c r="I152" s="1124">
        <v>47</v>
      </c>
      <c r="J152" s="1124">
        <v>31</v>
      </c>
      <c r="K152" s="1124">
        <v>15</v>
      </c>
      <c r="L152" s="1124">
        <v>1</v>
      </c>
      <c r="M152" s="1125">
        <v>1146</v>
      </c>
      <c r="N152" s="1125">
        <v>1550</v>
      </c>
      <c r="O152" s="1126" t="s">
        <v>1412</v>
      </c>
      <c r="P152" s="1076" t="s">
        <v>1413</v>
      </c>
    </row>
    <row r="153" spans="1:16" ht="30" customHeight="1" x14ac:dyDescent="0.3">
      <c r="A153" s="1071" t="s">
        <v>1414</v>
      </c>
      <c r="B153" s="1072" t="s">
        <v>1415</v>
      </c>
      <c r="C153" s="1127">
        <v>0</v>
      </c>
      <c r="D153" s="1127">
        <v>264</v>
      </c>
      <c r="E153" s="1127">
        <v>715</v>
      </c>
      <c r="F153" s="1127">
        <v>1393</v>
      </c>
      <c r="G153" s="1127">
        <v>2492</v>
      </c>
      <c r="H153" s="1127">
        <v>3364</v>
      </c>
      <c r="I153" s="1127">
        <v>3209</v>
      </c>
      <c r="J153" s="1127">
        <v>2750</v>
      </c>
      <c r="K153" s="1127">
        <v>1783</v>
      </c>
      <c r="L153" s="1127">
        <v>744</v>
      </c>
      <c r="M153" s="1128">
        <v>4864</v>
      </c>
      <c r="N153" s="1128">
        <v>16714</v>
      </c>
      <c r="O153" s="1129" t="s">
        <v>52</v>
      </c>
      <c r="P153" s="1130" t="s">
        <v>1416</v>
      </c>
    </row>
    <row r="154" spans="1:16" x14ac:dyDescent="0.3">
      <c r="A154" s="1071" t="s">
        <v>1417</v>
      </c>
      <c r="B154" s="1072" t="s">
        <v>1418</v>
      </c>
      <c r="C154" s="1131">
        <v>0</v>
      </c>
      <c r="D154" s="1131">
        <v>0</v>
      </c>
      <c r="E154" s="1131">
        <v>50</v>
      </c>
      <c r="F154" s="1131">
        <v>270</v>
      </c>
      <c r="G154" s="1131">
        <v>680</v>
      </c>
      <c r="H154" s="1131">
        <v>850</v>
      </c>
      <c r="I154" s="1131">
        <v>730</v>
      </c>
      <c r="J154" s="1131">
        <v>485</v>
      </c>
      <c r="K154" s="1131">
        <v>285</v>
      </c>
      <c r="L154" s="1131">
        <v>145</v>
      </c>
      <c r="M154" s="1032">
        <v>1000</v>
      </c>
      <c r="N154" s="1032">
        <v>3495</v>
      </c>
      <c r="O154" s="1033" t="s">
        <v>52</v>
      </c>
      <c r="P154" s="1034" t="s">
        <v>1419</v>
      </c>
    </row>
    <row r="155" spans="1:16" x14ac:dyDescent="0.3">
      <c r="A155" s="1071" t="s">
        <v>1420</v>
      </c>
      <c r="B155" s="1072" t="s">
        <v>1421</v>
      </c>
      <c r="C155" s="1131">
        <v>0</v>
      </c>
      <c r="D155" s="1131">
        <v>5</v>
      </c>
      <c r="E155" s="1131">
        <v>5</v>
      </c>
      <c r="F155" s="1131">
        <v>10</v>
      </c>
      <c r="G155" s="1131">
        <v>25</v>
      </c>
      <c r="H155" s="1131">
        <v>70</v>
      </c>
      <c r="I155" s="1131">
        <v>175</v>
      </c>
      <c r="J155" s="1131">
        <v>385</v>
      </c>
      <c r="K155" s="1131">
        <v>460</v>
      </c>
      <c r="L155" s="1131">
        <v>325</v>
      </c>
      <c r="M155" s="1131">
        <v>45</v>
      </c>
      <c r="N155" s="1032">
        <v>1460</v>
      </c>
      <c r="O155" s="1035" t="s">
        <v>52</v>
      </c>
      <c r="P155" s="1034" t="s">
        <v>1422</v>
      </c>
    </row>
    <row r="156" spans="1:16" x14ac:dyDescent="0.3">
      <c r="A156" s="1088" t="s">
        <v>1423</v>
      </c>
      <c r="B156" s="1089" t="s">
        <v>1424</v>
      </c>
      <c r="C156" s="1131">
        <v>0</v>
      </c>
      <c r="D156" s="1131">
        <v>6</v>
      </c>
      <c r="E156" s="1131">
        <v>8</v>
      </c>
      <c r="F156" s="1131">
        <v>1</v>
      </c>
      <c r="G156" s="1131">
        <v>0</v>
      </c>
      <c r="H156" s="1131">
        <v>0</v>
      </c>
      <c r="I156" s="1131">
        <v>0</v>
      </c>
      <c r="J156" s="1131">
        <v>0</v>
      </c>
      <c r="K156" s="1131">
        <v>0</v>
      </c>
      <c r="L156" s="1131">
        <v>0</v>
      </c>
      <c r="M156" s="1131">
        <v>15</v>
      </c>
      <c r="N156" s="1131">
        <v>15</v>
      </c>
      <c r="O156" s="1035" t="s">
        <v>52</v>
      </c>
      <c r="P156" s="1034" t="s">
        <v>1425</v>
      </c>
    </row>
    <row r="157" spans="1:16" ht="24" customHeight="1" x14ac:dyDescent="0.3">
      <c r="A157" s="1071" t="s">
        <v>1426</v>
      </c>
      <c r="B157" s="1072" t="s">
        <v>1427</v>
      </c>
      <c r="C157" s="1131">
        <v>0</v>
      </c>
      <c r="D157" s="1131">
        <v>5</v>
      </c>
      <c r="E157" s="1131">
        <v>41</v>
      </c>
      <c r="F157" s="1131">
        <v>116</v>
      </c>
      <c r="G157" s="1131">
        <v>284</v>
      </c>
      <c r="H157" s="1131">
        <v>417</v>
      </c>
      <c r="I157" s="1131">
        <v>459</v>
      </c>
      <c r="J157" s="1131">
        <v>355</v>
      </c>
      <c r="K157" s="1131">
        <v>210</v>
      </c>
      <c r="L157" s="1131">
        <v>90</v>
      </c>
      <c r="M157" s="1131">
        <v>446</v>
      </c>
      <c r="N157" s="1032">
        <v>1977</v>
      </c>
      <c r="O157" s="1036" t="s">
        <v>52</v>
      </c>
      <c r="P157" s="1037" t="s">
        <v>1428</v>
      </c>
    </row>
    <row r="158" spans="1:16" ht="24" customHeight="1" x14ac:dyDescent="0.3">
      <c r="A158" s="1071" t="s">
        <v>1429</v>
      </c>
      <c r="B158" s="1072" t="s">
        <v>1430</v>
      </c>
      <c r="C158" s="1131">
        <v>0</v>
      </c>
      <c r="D158" s="1131">
        <v>20</v>
      </c>
      <c r="E158" s="1131">
        <v>100</v>
      </c>
      <c r="F158" s="1131">
        <v>460</v>
      </c>
      <c r="G158" s="1032">
        <v>1070</v>
      </c>
      <c r="H158" s="1032">
        <v>1430</v>
      </c>
      <c r="I158" s="1032">
        <v>1110</v>
      </c>
      <c r="J158" s="1131">
        <v>660</v>
      </c>
      <c r="K158" s="1131">
        <v>300</v>
      </c>
      <c r="L158" s="1131">
        <v>100</v>
      </c>
      <c r="M158" s="1032">
        <v>1650</v>
      </c>
      <c r="N158" s="1032">
        <v>5250</v>
      </c>
      <c r="O158" s="1035" t="s">
        <v>52</v>
      </c>
      <c r="P158" s="1034" t="s">
        <v>1431</v>
      </c>
    </row>
    <row r="159" spans="1:16" x14ac:dyDescent="0.3">
      <c r="A159" s="1071" t="s">
        <v>1432</v>
      </c>
      <c r="B159" s="1072" t="s">
        <v>1433</v>
      </c>
      <c r="C159" s="1050">
        <v>0</v>
      </c>
      <c r="D159" s="1050">
        <v>56</v>
      </c>
      <c r="E159" s="1050">
        <v>141</v>
      </c>
      <c r="F159" s="1050">
        <v>230</v>
      </c>
      <c r="G159" s="1050">
        <v>343</v>
      </c>
      <c r="H159" s="1050">
        <v>470</v>
      </c>
      <c r="I159" s="1050">
        <v>620</v>
      </c>
      <c r="J159" s="1050">
        <v>802</v>
      </c>
      <c r="K159" s="1050">
        <v>1024</v>
      </c>
      <c r="L159" s="1050">
        <v>1330</v>
      </c>
      <c r="M159" s="1050">
        <v>769</v>
      </c>
      <c r="N159" s="1050">
        <v>5015</v>
      </c>
      <c r="O159" s="1033" t="s">
        <v>52</v>
      </c>
      <c r="P159" s="1076"/>
    </row>
    <row r="160" spans="1:16" x14ac:dyDescent="0.3">
      <c r="A160" s="1071" t="s">
        <v>1434</v>
      </c>
      <c r="B160" s="1072" t="s">
        <v>1435</v>
      </c>
      <c r="C160" s="1131"/>
      <c r="D160" s="1131"/>
      <c r="E160" s="1131"/>
      <c r="F160" s="1131"/>
      <c r="G160" s="1131"/>
      <c r="H160" s="1131"/>
      <c r="I160" s="1131"/>
      <c r="J160" s="1131"/>
      <c r="K160" s="1131"/>
      <c r="L160" s="1131"/>
      <c r="M160" s="1131"/>
      <c r="N160" s="1032"/>
      <c r="O160" s="1036"/>
      <c r="P160" s="1076"/>
    </row>
    <row r="161" spans="1:17" x14ac:dyDescent="0.3">
      <c r="A161" s="1071" t="s">
        <v>1436</v>
      </c>
      <c r="B161" s="1072" t="s">
        <v>1437</v>
      </c>
      <c r="C161" s="1131"/>
      <c r="D161" s="1131"/>
      <c r="E161" s="1131"/>
      <c r="F161" s="1131"/>
      <c r="G161" s="1131"/>
      <c r="H161" s="1131"/>
      <c r="I161" s="1131"/>
      <c r="J161" s="1131"/>
      <c r="K161" s="1131"/>
      <c r="L161" s="1131"/>
      <c r="M161" s="1131"/>
      <c r="N161" s="1032"/>
      <c r="O161" s="1051"/>
      <c r="P161" s="1052"/>
    </row>
    <row r="162" spans="1:17" x14ac:dyDescent="0.3">
      <c r="A162" s="1071" t="s">
        <v>1438</v>
      </c>
      <c r="B162" s="1072" t="s">
        <v>1439</v>
      </c>
      <c r="C162" s="1131">
        <v>0</v>
      </c>
      <c r="D162" s="1131">
        <v>20</v>
      </c>
      <c r="E162" s="1131">
        <v>70</v>
      </c>
      <c r="F162" s="1131">
        <v>130</v>
      </c>
      <c r="G162" s="1131">
        <v>155</v>
      </c>
      <c r="H162" s="1131">
        <v>155</v>
      </c>
      <c r="I162" s="1131">
        <v>155</v>
      </c>
      <c r="J162" s="1131">
        <v>135</v>
      </c>
      <c r="K162" s="1131">
        <v>80</v>
      </c>
      <c r="L162" s="1131">
        <v>20</v>
      </c>
      <c r="M162" s="1131">
        <v>375</v>
      </c>
      <c r="N162" s="1131">
        <v>920</v>
      </c>
      <c r="O162" s="1035" t="s">
        <v>52</v>
      </c>
      <c r="P162" s="1076"/>
    </row>
    <row r="163" spans="1:17" x14ac:dyDescent="0.3">
      <c r="A163" s="1088" t="s">
        <v>1440</v>
      </c>
      <c r="B163" s="1089" t="s">
        <v>1441</v>
      </c>
      <c r="C163" s="1131">
        <v>0</v>
      </c>
      <c r="D163" s="1131">
        <v>15</v>
      </c>
      <c r="E163" s="1131">
        <v>12</v>
      </c>
      <c r="F163" s="1131">
        <v>8</v>
      </c>
      <c r="G163" s="1131">
        <v>4</v>
      </c>
      <c r="H163" s="1131">
        <v>0</v>
      </c>
      <c r="I163" s="1131">
        <v>0</v>
      </c>
      <c r="J163" s="1131">
        <v>0</v>
      </c>
      <c r="K163" s="1131">
        <v>0</v>
      </c>
      <c r="L163" s="1131">
        <v>0</v>
      </c>
      <c r="M163" s="1131">
        <v>39</v>
      </c>
      <c r="N163" s="1131">
        <v>39</v>
      </c>
      <c r="O163" s="1035" t="s">
        <v>52</v>
      </c>
      <c r="P163" s="1076"/>
    </row>
    <row r="164" spans="1:17" x14ac:dyDescent="0.3">
      <c r="A164" s="1071" t="s">
        <v>1442</v>
      </c>
      <c r="B164" s="1072" t="s">
        <v>1443</v>
      </c>
      <c r="C164" s="1053">
        <v>0</v>
      </c>
      <c r="D164" s="1053">
        <v>25</v>
      </c>
      <c r="E164" s="1053">
        <v>100</v>
      </c>
      <c r="F164" s="1053">
        <v>125</v>
      </c>
      <c r="G164" s="1053">
        <v>100</v>
      </c>
      <c r="H164" s="1053">
        <v>75</v>
      </c>
      <c r="I164" s="1053">
        <v>30</v>
      </c>
      <c r="J164" s="1053">
        <v>20</v>
      </c>
      <c r="K164" s="1053">
        <v>0</v>
      </c>
      <c r="L164" s="1053">
        <v>0</v>
      </c>
      <c r="M164" s="1053">
        <v>350</v>
      </c>
      <c r="N164" s="1053">
        <v>475</v>
      </c>
      <c r="O164" s="1054" t="s">
        <v>52</v>
      </c>
      <c r="P164" s="1076"/>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1451</v>
      </c>
    </row>
    <row r="168" spans="1:17" x14ac:dyDescent="0.3">
      <c r="A168" s="1055"/>
      <c r="B168" s="1055"/>
      <c r="C168" s="1038"/>
      <c r="D168" s="1038">
        <v>2022</v>
      </c>
      <c r="E168" s="1038">
        <v>2023</v>
      </c>
      <c r="F168" s="1038">
        <v>2024</v>
      </c>
      <c r="G168" s="1038">
        <v>2025</v>
      </c>
      <c r="H168" s="1038">
        <v>2026</v>
      </c>
      <c r="I168" s="1038">
        <v>2027</v>
      </c>
      <c r="J168" s="1038">
        <v>2028</v>
      </c>
      <c r="K168" s="1038">
        <v>2029</v>
      </c>
      <c r="L168" s="1038">
        <v>2030</v>
      </c>
      <c r="M168" s="1039">
        <v>2031</v>
      </c>
      <c r="N168" s="1040" t="s">
        <v>1444</v>
      </c>
      <c r="O168" s="1040" t="s">
        <v>1445</v>
      </c>
      <c r="Q168" s="62"/>
    </row>
    <row r="169" spans="1:17" x14ac:dyDescent="0.3">
      <c r="A169" s="1056" t="s">
        <v>1446</v>
      </c>
      <c r="B169" s="1056"/>
      <c r="C169" s="1062"/>
      <c r="D169" s="1062">
        <f t="shared" ref="D169:O169" si="9">D78/1000</f>
        <v>0</v>
      </c>
      <c r="E169" s="1062">
        <f t="shared" si="9"/>
        <v>6.8000000000000005E-2</v>
      </c>
      <c r="F169" s="1062">
        <f t="shared" si="9"/>
        <v>1.363</v>
      </c>
      <c r="G169" s="1062">
        <f t="shared" si="9"/>
        <v>2.4329999999999998</v>
      </c>
      <c r="H169" s="1062">
        <f t="shared" si="9"/>
        <v>2.8029999999999999</v>
      </c>
      <c r="I169" s="1062">
        <f t="shared" si="9"/>
        <v>1.7410000000000001</v>
      </c>
      <c r="J169" s="1062">
        <f t="shared" si="9"/>
        <v>0.56999999999999995</v>
      </c>
      <c r="K169" s="1062">
        <f t="shared" si="9"/>
        <v>3.5000000000000003E-2</v>
      </c>
      <c r="L169" s="1062">
        <f t="shared" si="9"/>
        <v>0</v>
      </c>
      <c r="M169" s="1062">
        <f t="shared" si="9"/>
        <v>0</v>
      </c>
      <c r="N169" s="1062">
        <f t="shared" si="9"/>
        <v>6.6669999999999998</v>
      </c>
      <c r="O169" s="1062">
        <f t="shared" si="9"/>
        <v>9.0129999999999999</v>
      </c>
      <c r="Q169" s="62"/>
    </row>
    <row r="170" spans="1:17" x14ac:dyDescent="0.3">
      <c r="A170" s="1056" t="s">
        <v>1447</v>
      </c>
      <c r="B170" s="1056"/>
      <c r="C170" s="1062"/>
      <c r="D170" s="1062">
        <f t="shared" ref="D170:O170" si="10">(D77+D70)/1000</f>
        <v>0</v>
      </c>
      <c r="E170" s="1062">
        <f t="shared" si="10"/>
        <v>0.81899999999999995</v>
      </c>
      <c r="F170" s="1062">
        <f t="shared" si="10"/>
        <v>2.4780000000000002</v>
      </c>
      <c r="G170" s="1062">
        <f t="shared" si="10"/>
        <v>4.0720000000000001</v>
      </c>
      <c r="H170" s="1062">
        <f t="shared" si="10"/>
        <v>5.4480000000000004</v>
      </c>
      <c r="I170" s="1062">
        <f t="shared" si="10"/>
        <v>4.8289999999999997</v>
      </c>
      <c r="J170" s="1062">
        <f t="shared" si="10"/>
        <v>3.2949999999999999</v>
      </c>
      <c r="K170" s="1062">
        <f t="shared" si="10"/>
        <v>1.98</v>
      </c>
      <c r="L170" s="1062">
        <f t="shared" si="10"/>
        <v>1.01</v>
      </c>
      <c r="M170" s="1062">
        <f t="shared" si="10"/>
        <v>0.40400000000000003</v>
      </c>
      <c r="N170" s="1062">
        <f t="shared" si="10"/>
        <v>12.817</v>
      </c>
      <c r="O170" s="1062">
        <f t="shared" si="10"/>
        <v>24.335000000000001</v>
      </c>
      <c r="Q170" s="62"/>
    </row>
    <row r="171" spans="1:17" x14ac:dyDescent="0.3">
      <c r="A171" s="1056" t="s">
        <v>1448</v>
      </c>
      <c r="B171" s="1056"/>
      <c r="C171" s="1062"/>
      <c r="D171" s="1062">
        <f t="shared" ref="D171:O171" si="11">(D69+D76)/1000</f>
        <v>0</v>
      </c>
      <c r="E171" s="1062">
        <f t="shared" si="11"/>
        <v>4.5430000000000001</v>
      </c>
      <c r="F171" s="1062">
        <f t="shared" si="11"/>
        <v>5.6079999999999997</v>
      </c>
      <c r="G171" s="1062">
        <f t="shared" si="11"/>
        <v>8.16</v>
      </c>
      <c r="H171" s="1062">
        <f t="shared" si="11"/>
        <v>10.069000000000001</v>
      </c>
      <c r="I171" s="1062">
        <f t="shared" si="11"/>
        <v>12.026999999999999</v>
      </c>
      <c r="J171" s="1062">
        <f t="shared" si="11"/>
        <v>13.826000000000001</v>
      </c>
      <c r="K171" s="1062">
        <f t="shared" si="11"/>
        <v>15.862</v>
      </c>
      <c r="L171" s="1062">
        <f t="shared" si="11"/>
        <v>17.890999999999998</v>
      </c>
      <c r="M171" s="1062">
        <f t="shared" si="11"/>
        <v>17.481000000000002</v>
      </c>
      <c r="N171" s="1062">
        <f t="shared" si="11"/>
        <v>28.38</v>
      </c>
      <c r="O171" s="1062">
        <f t="shared" si="11"/>
        <v>105.467</v>
      </c>
      <c r="Q171" s="62"/>
    </row>
    <row r="172" spans="1:17" x14ac:dyDescent="0.3">
      <c r="A172" s="1057" t="s">
        <v>52</v>
      </c>
      <c r="B172" s="1057"/>
      <c r="C172" s="1062"/>
      <c r="D172" s="1062">
        <f t="shared" ref="D172:O172" si="12">(D79+D74)/1000</f>
        <v>0</v>
      </c>
      <c r="E172" s="1062">
        <f t="shared" si="12"/>
        <v>1.2969999999999999</v>
      </c>
      <c r="F172" s="1062">
        <f t="shared" si="12"/>
        <v>3.8479999999999999</v>
      </c>
      <c r="G172" s="1062">
        <f t="shared" si="12"/>
        <v>6.4420000000000002</v>
      </c>
      <c r="H172" s="1062">
        <f t="shared" si="12"/>
        <v>9.532</v>
      </c>
      <c r="I172" s="1062">
        <f t="shared" si="12"/>
        <v>11.882</v>
      </c>
      <c r="J172" s="1062">
        <f t="shared" si="12"/>
        <v>11.727</v>
      </c>
      <c r="K172" s="1062">
        <f t="shared" si="12"/>
        <v>10.569000000000001</v>
      </c>
      <c r="L172" s="1062">
        <f t="shared" si="12"/>
        <v>8.8879999999999999</v>
      </c>
      <c r="M172" s="1062">
        <f t="shared" si="12"/>
        <v>7.1890000000000001</v>
      </c>
      <c r="N172" s="1062">
        <f t="shared" si="12"/>
        <v>21.117000000000001</v>
      </c>
      <c r="O172" s="1062">
        <f t="shared" si="12"/>
        <v>71.372</v>
      </c>
      <c r="Q172" s="62"/>
    </row>
    <row r="173" spans="1:17" x14ac:dyDescent="0.3">
      <c r="A173" s="1058" t="s">
        <v>581</v>
      </c>
      <c r="B173" s="1058"/>
      <c r="C173" s="1062"/>
      <c r="D173" s="1062"/>
      <c r="E173" s="1062"/>
      <c r="F173" s="1062"/>
      <c r="G173" s="1062"/>
      <c r="H173" s="1062"/>
      <c r="I173" s="1062"/>
      <c r="J173" s="1062"/>
      <c r="K173" s="1062"/>
      <c r="L173" s="1062"/>
      <c r="M173" s="1062"/>
      <c r="N173" s="1062"/>
      <c r="O173" s="1062"/>
      <c r="Q173" s="62"/>
    </row>
    <row r="174" spans="1:17" x14ac:dyDescent="0.3">
      <c r="A174" s="1059" t="s">
        <v>54</v>
      </c>
      <c r="B174" s="1059"/>
      <c r="C174" s="1062"/>
      <c r="D174" s="1062">
        <f t="shared" ref="D174:O174" si="13">D71/1000</f>
        <v>0</v>
      </c>
      <c r="E174" s="1062">
        <f t="shared" si="13"/>
        <v>0.11</v>
      </c>
      <c r="F174" s="1062">
        <f t="shared" si="13"/>
        <v>0.73899999999999999</v>
      </c>
      <c r="G174" s="1062">
        <f t="shared" si="13"/>
        <v>1.1950000000000001</v>
      </c>
      <c r="H174" s="1062">
        <f t="shared" si="13"/>
        <v>1.4970000000000001</v>
      </c>
      <c r="I174" s="1062">
        <f t="shared" si="13"/>
        <v>1.91</v>
      </c>
      <c r="J174" s="1062">
        <f t="shared" si="13"/>
        <v>2.4049999999999998</v>
      </c>
      <c r="K174" s="1062">
        <f t="shared" si="13"/>
        <v>2.9220000000000002</v>
      </c>
      <c r="L174" s="1062">
        <f t="shared" si="13"/>
        <v>3.4630000000000001</v>
      </c>
      <c r="M174" s="1062">
        <f t="shared" si="13"/>
        <v>4.0069999999999997</v>
      </c>
      <c r="N174" s="1062">
        <f t="shared" si="13"/>
        <v>3.5409999999999999</v>
      </c>
      <c r="O174" s="1062">
        <f t="shared" si="13"/>
        <v>18.248000000000001</v>
      </c>
      <c r="Q174" s="62"/>
    </row>
    <row r="175" spans="1:17" x14ac:dyDescent="0.3">
      <c r="A175" s="1059" t="s">
        <v>1449</v>
      </c>
      <c r="B175" s="1059"/>
      <c r="C175" s="1062"/>
      <c r="D175" s="1062">
        <f t="shared" ref="D175:O175" si="14">D72/1000</f>
        <v>0</v>
      </c>
      <c r="E175" s="1062">
        <f t="shared" si="14"/>
        <v>-0.41499999999999998</v>
      </c>
      <c r="F175" s="1062">
        <f t="shared" si="14"/>
        <v>2.7679999999999998</v>
      </c>
      <c r="G175" s="1062">
        <f t="shared" si="14"/>
        <v>-12.473000000000001</v>
      </c>
      <c r="H175" s="1062">
        <f t="shared" si="14"/>
        <v>-5.3739999999999997</v>
      </c>
      <c r="I175" s="1062">
        <f t="shared" si="14"/>
        <v>-25.515000000000001</v>
      </c>
      <c r="J175" s="1062">
        <f t="shared" si="14"/>
        <v>-43.975000000000001</v>
      </c>
      <c r="K175" s="1062">
        <f t="shared" si="14"/>
        <v>-46.426000000000002</v>
      </c>
      <c r="L175" s="1062">
        <f t="shared" si="14"/>
        <v>-56.228000000000002</v>
      </c>
      <c r="M175" s="1062">
        <f t="shared" si="14"/>
        <v>-60.581000000000003</v>
      </c>
      <c r="N175" s="1062">
        <f t="shared" si="14"/>
        <v>-15.494</v>
      </c>
      <c r="O175" s="1062">
        <f t="shared" si="14"/>
        <v>-248.21899999999999</v>
      </c>
      <c r="Q175" s="62"/>
    </row>
    <row r="176" spans="1:17" x14ac:dyDescent="0.3">
      <c r="A176" s="1060" t="s">
        <v>57</v>
      </c>
      <c r="B176" s="1060"/>
      <c r="C176" s="1062"/>
      <c r="D176" s="1062">
        <f t="shared" ref="D176:O176" si="15">(D80+D73)/1000</f>
        <v>-0.622</v>
      </c>
      <c r="E176" s="1062">
        <f t="shared" si="15"/>
        <v>21.89</v>
      </c>
      <c r="F176" s="1062">
        <f t="shared" si="15"/>
        <v>15.439</v>
      </c>
      <c r="G176" s="1062">
        <f t="shared" si="15"/>
        <v>16.966999999999999</v>
      </c>
      <c r="H176" s="1062">
        <f t="shared" si="15"/>
        <v>0.72799999999999998</v>
      </c>
      <c r="I176" s="1062">
        <f t="shared" si="15"/>
        <v>7.657</v>
      </c>
      <c r="J176" s="1062">
        <f t="shared" si="15"/>
        <v>4.5590000000000002</v>
      </c>
      <c r="K176" s="1062">
        <f t="shared" si="15"/>
        <v>2.4649999999999999</v>
      </c>
      <c r="L176" s="1062">
        <f t="shared" si="15"/>
        <v>1.444</v>
      </c>
      <c r="M176" s="1062">
        <f t="shared" si="15"/>
        <v>0.77300000000000002</v>
      </c>
      <c r="N176" s="1062">
        <f t="shared" si="15"/>
        <v>54.402000000000001</v>
      </c>
      <c r="O176" s="1062">
        <f t="shared" si="15"/>
        <v>71.3</v>
      </c>
      <c r="Q176" s="62"/>
    </row>
    <row r="177" spans="1:17" x14ac:dyDescent="0.3">
      <c r="A177" s="1061" t="s">
        <v>1510</v>
      </c>
      <c r="B177" s="1061"/>
      <c r="C177" s="1062"/>
      <c r="D177" s="1049">
        <f t="shared" ref="D177:O177" si="16">D84/1000</f>
        <v>0</v>
      </c>
      <c r="E177" s="1049">
        <f t="shared" si="16"/>
        <v>-3.1549999999999998</v>
      </c>
      <c r="F177" s="1049">
        <f t="shared" si="16"/>
        <v>-2.2309999999999999</v>
      </c>
      <c r="G177" s="1049">
        <f t="shared" si="16"/>
        <v>-1.6080000000000001</v>
      </c>
      <c r="H177" s="1049">
        <f t="shared" si="16"/>
        <v>-0.77</v>
      </c>
      <c r="I177" s="1049">
        <f t="shared" si="16"/>
        <v>-0.98299999999999998</v>
      </c>
      <c r="J177" s="1049">
        <f t="shared" si="16"/>
        <v>-1.2110000000000001</v>
      </c>
      <c r="K177" s="1049">
        <f t="shared" si="16"/>
        <v>-1.4710000000000001</v>
      </c>
      <c r="L177" s="1049">
        <f t="shared" si="16"/>
        <v>-1.81</v>
      </c>
      <c r="M177" s="1049">
        <f t="shared" si="16"/>
        <v>-2.3250000000000002</v>
      </c>
      <c r="N177" s="1049">
        <f t="shared" si="16"/>
        <v>-7.7670000000000003</v>
      </c>
      <c r="O177" s="1049">
        <f t="shared" si="16"/>
        <v>-15.566000000000001</v>
      </c>
      <c r="Q177" s="62"/>
    </row>
    <row r="178" spans="1:17" x14ac:dyDescent="0.3">
      <c r="A178" s="1061" t="s">
        <v>239</v>
      </c>
      <c r="B178" s="1061"/>
      <c r="C178" s="1062"/>
      <c r="D178" s="1049">
        <f t="shared" ref="D178:O178" si="17">D85/1000</f>
        <v>0</v>
      </c>
      <c r="E178" s="1049">
        <f t="shared" si="17"/>
        <v>0.45200000000000001</v>
      </c>
      <c r="F178" s="1049">
        <f t="shared" si="17"/>
        <v>-8.67</v>
      </c>
      <c r="G178" s="1049">
        <f t="shared" si="17"/>
        <v>-4.5270000000000001</v>
      </c>
      <c r="H178" s="1049">
        <f t="shared" si="17"/>
        <v>-0.70499999999999996</v>
      </c>
      <c r="I178" s="1049">
        <f t="shared" si="17"/>
        <v>15.813000000000001</v>
      </c>
      <c r="J178" s="1049">
        <f t="shared" si="17"/>
        <v>20.372</v>
      </c>
      <c r="K178" s="1049">
        <f t="shared" si="17"/>
        <v>24.847000000000001</v>
      </c>
      <c r="L178" s="1049">
        <f t="shared" si="17"/>
        <v>28.113</v>
      </c>
      <c r="M178" s="1049">
        <f t="shared" si="17"/>
        <v>24.777000000000001</v>
      </c>
      <c r="N178" s="1049">
        <f t="shared" si="17"/>
        <v>-13.451000000000001</v>
      </c>
      <c r="O178" s="1049">
        <f t="shared" si="17"/>
        <v>100.468</v>
      </c>
      <c r="Q178" s="62"/>
    </row>
    <row r="179" spans="1:17" x14ac:dyDescent="0.3">
      <c r="A179" s="1061" t="s">
        <v>106</v>
      </c>
      <c r="B179" s="1061"/>
      <c r="C179" s="1062"/>
      <c r="D179" s="1049">
        <f t="shared" ref="D179:O179" si="18">D83/1000</f>
        <v>0</v>
      </c>
      <c r="E179" s="1049">
        <f t="shared" si="18"/>
        <v>35.317</v>
      </c>
      <c r="F179" s="1049">
        <f t="shared" si="18"/>
        <v>36.033000000000001</v>
      </c>
      <c r="G179" s="1049">
        <f t="shared" si="18"/>
        <v>21.076000000000001</v>
      </c>
      <c r="H179" s="1049">
        <f t="shared" si="18"/>
        <v>13.346</v>
      </c>
      <c r="I179" s="1049">
        <f t="shared" si="18"/>
        <v>27.507999999999999</v>
      </c>
      <c r="J179" s="1049">
        <f t="shared" si="18"/>
        <v>35.85</v>
      </c>
      <c r="K179" s="1049">
        <f t="shared" si="18"/>
        <v>18.64</v>
      </c>
      <c r="L179" s="1049">
        <f t="shared" si="18"/>
        <v>8.3940000000000001</v>
      </c>
      <c r="M179" s="1049">
        <f t="shared" si="18"/>
        <v>7.9820000000000002</v>
      </c>
      <c r="N179" s="1049">
        <f t="shared" si="18"/>
        <v>105.76900000000001</v>
      </c>
      <c r="O179" s="1049">
        <f t="shared" si="18"/>
        <v>204.14400000000001</v>
      </c>
      <c r="Q179" s="62"/>
    </row>
    <row r="182" spans="1:17" x14ac:dyDescent="0.3">
      <c r="A182" s="56" t="s">
        <v>1450</v>
      </c>
    </row>
    <row r="183" spans="1:17" x14ac:dyDescent="0.3">
      <c r="A183" s="1055"/>
      <c r="B183" s="1055"/>
      <c r="C183" s="1055"/>
      <c r="D183" s="1055" t="s">
        <v>183</v>
      </c>
      <c r="E183" s="1055" t="s">
        <v>184</v>
      </c>
      <c r="F183" s="1055" t="s">
        <v>185</v>
      </c>
      <c r="G183" s="1055" t="s">
        <v>186</v>
      </c>
      <c r="H183" s="1055" t="s">
        <v>187</v>
      </c>
      <c r="I183" s="1055" t="s">
        <v>188</v>
      </c>
      <c r="J183" s="1055" t="s">
        <v>189</v>
      </c>
      <c r="K183" s="1055" t="s">
        <v>190</v>
      </c>
      <c r="L183" s="1055" t="s">
        <v>191</v>
      </c>
      <c r="M183" s="1055" t="s">
        <v>175</v>
      </c>
      <c r="N183" s="1055" t="s">
        <v>176</v>
      </c>
      <c r="O183" s="1055" t="s">
        <v>177</v>
      </c>
      <c r="Q183" s="62"/>
    </row>
    <row r="184" spans="1:17" x14ac:dyDescent="0.3">
      <c r="A184" s="1056" t="s">
        <v>1446</v>
      </c>
      <c r="B184" s="1056"/>
      <c r="C184" s="1063"/>
      <c r="D184" s="1063">
        <f t="shared" ref="D184:D191" si="19">D169</f>
        <v>0</v>
      </c>
      <c r="E184" s="1063">
        <f>D184</f>
        <v>0</v>
      </c>
      <c r="F184" s="1063">
        <f t="shared" ref="F184:F191" si="20">E169</f>
        <v>6.8000000000000005E-2</v>
      </c>
      <c r="G184" s="1063">
        <f>F184</f>
        <v>6.8000000000000005E-2</v>
      </c>
      <c r="H184" s="1063">
        <f>G184</f>
        <v>6.8000000000000005E-2</v>
      </c>
      <c r="I184" s="1063">
        <f>H184</f>
        <v>6.8000000000000005E-2</v>
      </c>
      <c r="J184" s="1063">
        <f t="shared" ref="J184:J191" si="21">F169</f>
        <v>1.363</v>
      </c>
      <c r="K184" s="1063">
        <f t="shared" ref="K184:M191" si="22">J184</f>
        <v>1.363</v>
      </c>
      <c r="L184" s="1063">
        <f t="shared" si="22"/>
        <v>1.363</v>
      </c>
      <c r="M184" s="1063">
        <f>L184</f>
        <v>1.363</v>
      </c>
      <c r="N184" s="1063">
        <f t="shared" ref="N184:N191" si="23">G169</f>
        <v>2.4329999999999998</v>
      </c>
      <c r="O184" s="1063">
        <f>N184</f>
        <v>2.4329999999999998</v>
      </c>
      <c r="Q184" s="62"/>
    </row>
    <row r="185" spans="1:17" x14ac:dyDescent="0.3">
      <c r="A185" s="1056" t="s">
        <v>1447</v>
      </c>
      <c r="B185" s="1056"/>
      <c r="C185" s="1063"/>
      <c r="D185" s="1063">
        <f t="shared" si="19"/>
        <v>0</v>
      </c>
      <c r="E185" s="1063">
        <f t="shared" ref="E185:E191" si="24">D185</f>
        <v>0</v>
      </c>
      <c r="F185" s="1063">
        <f t="shared" si="20"/>
        <v>0.81899999999999995</v>
      </c>
      <c r="G185" s="1063">
        <f t="shared" ref="G185:I191" si="25">F185</f>
        <v>0.81899999999999995</v>
      </c>
      <c r="H185" s="1063">
        <f t="shared" si="25"/>
        <v>0.81899999999999995</v>
      </c>
      <c r="I185" s="1063">
        <f t="shared" si="25"/>
        <v>0.81899999999999995</v>
      </c>
      <c r="J185" s="1063">
        <f t="shared" si="21"/>
        <v>2.4780000000000002</v>
      </c>
      <c r="K185" s="1063">
        <f t="shared" si="22"/>
        <v>2.4780000000000002</v>
      </c>
      <c r="L185" s="1063">
        <f t="shared" si="22"/>
        <v>2.4780000000000002</v>
      </c>
      <c r="M185" s="1063">
        <f t="shared" si="22"/>
        <v>2.4780000000000002</v>
      </c>
      <c r="N185" s="1063">
        <f t="shared" si="23"/>
        <v>4.0720000000000001</v>
      </c>
      <c r="O185" s="1063">
        <f t="shared" ref="O185:O191" si="26">N185</f>
        <v>4.0720000000000001</v>
      </c>
      <c r="Q185" s="62"/>
    </row>
    <row r="186" spans="1:17" x14ac:dyDescent="0.3">
      <c r="A186" s="1056" t="s">
        <v>1448</v>
      </c>
      <c r="B186" s="1056"/>
      <c r="C186" s="1063"/>
      <c r="D186" s="1063">
        <f t="shared" si="19"/>
        <v>0</v>
      </c>
      <c r="E186" s="1063">
        <f t="shared" si="24"/>
        <v>0</v>
      </c>
      <c r="F186" s="1063">
        <f t="shared" si="20"/>
        <v>4.5430000000000001</v>
      </c>
      <c r="G186" s="1063">
        <f t="shared" si="25"/>
        <v>4.5430000000000001</v>
      </c>
      <c r="H186" s="1063">
        <f t="shared" si="25"/>
        <v>4.5430000000000001</v>
      </c>
      <c r="I186" s="1063">
        <f t="shared" si="25"/>
        <v>4.5430000000000001</v>
      </c>
      <c r="J186" s="1063">
        <f t="shared" si="21"/>
        <v>5.6079999999999997</v>
      </c>
      <c r="K186" s="1063">
        <f t="shared" si="22"/>
        <v>5.6079999999999997</v>
      </c>
      <c r="L186" s="1063">
        <f t="shared" si="22"/>
        <v>5.6079999999999997</v>
      </c>
      <c r="M186" s="1063">
        <f t="shared" si="22"/>
        <v>5.6079999999999997</v>
      </c>
      <c r="N186" s="1063">
        <f t="shared" si="23"/>
        <v>8.16</v>
      </c>
      <c r="O186" s="1063">
        <f t="shared" si="26"/>
        <v>8.16</v>
      </c>
      <c r="Q186" s="62"/>
    </row>
    <row r="187" spans="1:17" x14ac:dyDescent="0.3">
      <c r="A187" s="1057" t="s">
        <v>52</v>
      </c>
      <c r="B187" s="1057"/>
      <c r="C187" s="1063"/>
      <c r="D187" s="1063">
        <f t="shared" si="19"/>
        <v>0</v>
      </c>
      <c r="E187" s="1063">
        <f t="shared" si="24"/>
        <v>0</v>
      </c>
      <c r="F187" s="1063">
        <f t="shared" si="20"/>
        <v>1.2969999999999999</v>
      </c>
      <c r="G187" s="1063">
        <f t="shared" si="25"/>
        <v>1.2969999999999999</v>
      </c>
      <c r="H187" s="1063">
        <f t="shared" si="25"/>
        <v>1.2969999999999999</v>
      </c>
      <c r="I187" s="1063">
        <f t="shared" si="25"/>
        <v>1.2969999999999999</v>
      </c>
      <c r="J187" s="1063">
        <f t="shared" si="21"/>
        <v>3.8479999999999999</v>
      </c>
      <c r="K187" s="1063">
        <f t="shared" si="22"/>
        <v>3.8479999999999999</v>
      </c>
      <c r="L187" s="1063">
        <f t="shared" si="22"/>
        <v>3.8479999999999999</v>
      </c>
      <c r="M187" s="1063">
        <f t="shared" si="22"/>
        <v>3.8479999999999999</v>
      </c>
      <c r="N187" s="1063">
        <f t="shared" si="23"/>
        <v>6.4420000000000002</v>
      </c>
      <c r="O187" s="1063">
        <f t="shared" si="26"/>
        <v>6.4420000000000002</v>
      </c>
      <c r="Q187" s="62"/>
    </row>
    <row r="188" spans="1:17" x14ac:dyDescent="0.3">
      <c r="A188" s="1058" t="s">
        <v>581</v>
      </c>
      <c r="B188" s="1058"/>
      <c r="C188" s="1063"/>
      <c r="D188" s="1063">
        <f t="shared" si="19"/>
        <v>0</v>
      </c>
      <c r="E188" s="1063">
        <f t="shared" si="24"/>
        <v>0</v>
      </c>
      <c r="F188" s="1063">
        <f t="shared" si="20"/>
        <v>0</v>
      </c>
      <c r="G188" s="1063">
        <f t="shared" si="25"/>
        <v>0</v>
      </c>
      <c r="H188" s="1063">
        <f t="shared" si="25"/>
        <v>0</v>
      </c>
      <c r="I188" s="1063">
        <f t="shared" si="25"/>
        <v>0</v>
      </c>
      <c r="J188" s="1063">
        <f t="shared" si="21"/>
        <v>0</v>
      </c>
      <c r="K188" s="1063">
        <f t="shared" si="22"/>
        <v>0</v>
      </c>
      <c r="L188" s="1063">
        <f t="shared" si="22"/>
        <v>0</v>
      </c>
      <c r="M188" s="1063">
        <f t="shared" si="22"/>
        <v>0</v>
      </c>
      <c r="N188" s="1063">
        <f t="shared" si="23"/>
        <v>0</v>
      </c>
      <c r="O188" s="1063">
        <f t="shared" si="26"/>
        <v>0</v>
      </c>
      <c r="Q188" s="62"/>
    </row>
    <row r="189" spans="1:17" x14ac:dyDescent="0.3">
      <c r="A189" s="1059" t="s">
        <v>54</v>
      </c>
      <c r="B189" s="1059"/>
      <c r="C189" s="1063"/>
      <c r="D189" s="1063">
        <f t="shared" si="19"/>
        <v>0</v>
      </c>
      <c r="E189" s="1063">
        <f t="shared" si="24"/>
        <v>0</v>
      </c>
      <c r="F189" s="1063">
        <f t="shared" si="20"/>
        <v>0.11</v>
      </c>
      <c r="G189" s="1063">
        <f t="shared" si="25"/>
        <v>0.11</v>
      </c>
      <c r="H189" s="1063">
        <f t="shared" si="25"/>
        <v>0.11</v>
      </c>
      <c r="I189" s="1063">
        <f t="shared" si="25"/>
        <v>0.11</v>
      </c>
      <c r="J189" s="1063">
        <f t="shared" si="21"/>
        <v>0.73899999999999999</v>
      </c>
      <c r="K189" s="1063">
        <f t="shared" si="22"/>
        <v>0.73899999999999999</v>
      </c>
      <c r="L189" s="1063">
        <f t="shared" si="22"/>
        <v>0.73899999999999999</v>
      </c>
      <c r="M189" s="1063">
        <f t="shared" si="22"/>
        <v>0.73899999999999999</v>
      </c>
      <c r="N189" s="1063">
        <f t="shared" si="23"/>
        <v>1.1950000000000001</v>
      </c>
      <c r="O189" s="1063">
        <f t="shared" si="26"/>
        <v>1.1950000000000001</v>
      </c>
      <c r="Q189" s="62"/>
    </row>
    <row r="190" spans="1:17" x14ac:dyDescent="0.3">
      <c r="A190" s="1059" t="s">
        <v>1449</v>
      </c>
      <c r="B190" s="1059"/>
      <c r="C190" s="1063"/>
      <c r="D190" s="1063">
        <f t="shared" si="19"/>
        <v>0</v>
      </c>
      <c r="E190" s="1063">
        <f t="shared" si="24"/>
        <v>0</v>
      </c>
      <c r="F190" s="1063">
        <f t="shared" si="20"/>
        <v>-0.41499999999999998</v>
      </c>
      <c r="G190" s="1063">
        <f t="shared" si="25"/>
        <v>-0.41499999999999998</v>
      </c>
      <c r="H190" s="1063">
        <f t="shared" si="25"/>
        <v>-0.41499999999999998</v>
      </c>
      <c r="I190" s="1063">
        <f t="shared" si="25"/>
        <v>-0.41499999999999998</v>
      </c>
      <c r="J190" s="1063">
        <f t="shared" si="21"/>
        <v>2.7679999999999998</v>
      </c>
      <c r="K190" s="1063">
        <f t="shared" si="22"/>
        <v>2.7679999999999998</v>
      </c>
      <c r="L190" s="1063">
        <f t="shared" si="22"/>
        <v>2.7679999999999998</v>
      </c>
      <c r="M190" s="1063">
        <f t="shared" si="22"/>
        <v>2.7679999999999998</v>
      </c>
      <c r="N190" s="1063">
        <f t="shared" si="23"/>
        <v>-12.473000000000001</v>
      </c>
      <c r="O190" s="1063">
        <f t="shared" si="26"/>
        <v>-12.473000000000001</v>
      </c>
      <c r="Q190" s="62"/>
    </row>
    <row r="191" spans="1:17" x14ac:dyDescent="0.3">
      <c r="A191" s="1060" t="s">
        <v>57</v>
      </c>
      <c r="B191" s="1060"/>
      <c r="C191" s="1063"/>
      <c r="D191" s="1063">
        <f t="shared" si="19"/>
        <v>-0.622</v>
      </c>
      <c r="E191" s="1063">
        <f t="shared" si="24"/>
        <v>-0.622</v>
      </c>
      <c r="F191" s="1063">
        <f t="shared" si="20"/>
        <v>21.89</v>
      </c>
      <c r="G191" s="1063">
        <f t="shared" si="25"/>
        <v>21.89</v>
      </c>
      <c r="H191" s="1063">
        <f t="shared" si="25"/>
        <v>21.89</v>
      </c>
      <c r="I191" s="1063">
        <f t="shared" si="25"/>
        <v>21.89</v>
      </c>
      <c r="J191" s="1063">
        <f t="shared" si="21"/>
        <v>15.439</v>
      </c>
      <c r="K191" s="1063">
        <f t="shared" si="22"/>
        <v>15.439</v>
      </c>
      <c r="L191" s="1063">
        <f t="shared" si="22"/>
        <v>15.439</v>
      </c>
      <c r="M191" s="1063">
        <f t="shared" si="22"/>
        <v>15.439</v>
      </c>
      <c r="N191" s="1063">
        <f t="shared" si="23"/>
        <v>16.966999999999999</v>
      </c>
      <c r="O191" s="1063">
        <f t="shared" si="26"/>
        <v>16.966999999999999</v>
      </c>
      <c r="Q191" s="62"/>
    </row>
    <row r="192" spans="1:17" x14ac:dyDescent="0.3">
      <c r="A192" s="1061" t="s">
        <v>536</v>
      </c>
      <c r="B192" s="1061"/>
      <c r="C192" s="1063"/>
      <c r="D192" s="1049">
        <f t="shared" ref="D192:D194" si="27">D177</f>
        <v>0</v>
      </c>
      <c r="E192" s="1049">
        <f t="shared" ref="E192:E194" si="28">D192</f>
        <v>0</v>
      </c>
      <c r="F192" s="1049">
        <f t="shared" ref="F192:F194" si="29">E177</f>
        <v>-3.1549999999999998</v>
      </c>
      <c r="G192" s="1049">
        <f t="shared" ref="G192:G194" si="30">F192</f>
        <v>-3.1549999999999998</v>
      </c>
      <c r="H192" s="1049">
        <f t="shared" ref="H192:H194" si="31">G192</f>
        <v>-3.1549999999999998</v>
      </c>
      <c r="I192" s="1049">
        <f t="shared" ref="I192:I194" si="32">H192</f>
        <v>-3.1549999999999998</v>
      </c>
      <c r="J192" s="1049">
        <f t="shared" ref="J192:J194" si="33">F177</f>
        <v>-2.2309999999999999</v>
      </c>
      <c r="K192" s="1049">
        <f t="shared" ref="K192:K194" si="34">J192</f>
        <v>-2.2309999999999999</v>
      </c>
      <c r="L192" s="1049">
        <f t="shared" ref="L192:L194" si="35">K192</f>
        <v>-2.2309999999999999</v>
      </c>
      <c r="M192" s="1049">
        <f t="shared" ref="M192:M194" si="36">L192</f>
        <v>-2.2309999999999999</v>
      </c>
      <c r="N192" s="1049">
        <f t="shared" ref="N192:N194" si="37">G177</f>
        <v>-1.6080000000000001</v>
      </c>
      <c r="O192" s="1049">
        <f t="shared" ref="O192:O194" si="38">N192</f>
        <v>-1.6080000000000001</v>
      </c>
      <c r="Q192" s="62"/>
    </row>
    <row r="193" spans="1:17" x14ac:dyDescent="0.3">
      <c r="A193" s="1061" t="s">
        <v>534</v>
      </c>
      <c r="B193" s="1061"/>
      <c r="C193" s="1063"/>
      <c r="D193" s="1049">
        <f t="shared" si="27"/>
        <v>0</v>
      </c>
      <c r="E193" s="1049">
        <f t="shared" si="28"/>
        <v>0</v>
      </c>
      <c r="F193" s="1049">
        <f t="shared" si="29"/>
        <v>0.45200000000000001</v>
      </c>
      <c r="G193" s="1049">
        <f t="shared" si="30"/>
        <v>0.45200000000000001</v>
      </c>
      <c r="H193" s="1049">
        <f t="shared" si="31"/>
        <v>0.45200000000000001</v>
      </c>
      <c r="I193" s="1049">
        <f t="shared" si="32"/>
        <v>0.45200000000000001</v>
      </c>
      <c r="J193" s="1049">
        <f t="shared" si="33"/>
        <v>-8.67</v>
      </c>
      <c r="K193" s="1049">
        <f t="shared" si="34"/>
        <v>-8.67</v>
      </c>
      <c r="L193" s="1049">
        <f t="shared" si="35"/>
        <v>-8.67</v>
      </c>
      <c r="M193" s="1049">
        <f t="shared" si="36"/>
        <v>-8.67</v>
      </c>
      <c r="N193" s="1049">
        <f t="shared" si="37"/>
        <v>-4.5270000000000001</v>
      </c>
      <c r="O193" s="1049">
        <f t="shared" si="38"/>
        <v>-4.5270000000000001</v>
      </c>
      <c r="Q193" s="62"/>
    </row>
    <row r="194" spans="1:17" x14ac:dyDescent="0.3">
      <c r="A194" s="1061" t="s">
        <v>106</v>
      </c>
      <c r="B194" s="1061"/>
      <c r="C194" s="1063"/>
      <c r="D194" s="1049">
        <f t="shared" si="27"/>
        <v>0</v>
      </c>
      <c r="E194" s="1049">
        <f t="shared" si="28"/>
        <v>0</v>
      </c>
      <c r="F194" s="1049">
        <f t="shared" si="29"/>
        <v>35.317</v>
      </c>
      <c r="G194" s="1049">
        <f t="shared" si="30"/>
        <v>35.317</v>
      </c>
      <c r="H194" s="1049">
        <f t="shared" si="31"/>
        <v>35.317</v>
      </c>
      <c r="I194" s="1049">
        <f t="shared" si="32"/>
        <v>35.317</v>
      </c>
      <c r="J194" s="1049">
        <f t="shared" si="33"/>
        <v>36.033000000000001</v>
      </c>
      <c r="K194" s="1049">
        <f t="shared" si="34"/>
        <v>36.033000000000001</v>
      </c>
      <c r="L194" s="1049">
        <f t="shared" si="35"/>
        <v>36.033000000000001</v>
      </c>
      <c r="M194" s="1049">
        <f t="shared" si="36"/>
        <v>36.033000000000001</v>
      </c>
      <c r="N194" s="1049">
        <f t="shared" si="37"/>
        <v>21.076000000000001</v>
      </c>
      <c r="O194" s="1049">
        <f t="shared" si="38"/>
        <v>21.076000000000001</v>
      </c>
      <c r="Q194" s="62"/>
    </row>
    <row r="197" spans="1:17" x14ac:dyDescent="0.3">
      <c r="A197" s="56" t="s">
        <v>1452</v>
      </c>
    </row>
    <row r="198" spans="1:17" x14ac:dyDescent="0.3">
      <c r="A198" s="1057" t="s">
        <v>52</v>
      </c>
      <c r="D198" s="1064">
        <v>0</v>
      </c>
      <c r="E198" s="1064">
        <v>0</v>
      </c>
      <c r="F198" s="1064">
        <v>2.3250000000000002</v>
      </c>
      <c r="G198" s="1064">
        <v>2.3250000000000002</v>
      </c>
      <c r="H198" s="1064">
        <v>2.3250000000000002</v>
      </c>
      <c r="I198" s="1064">
        <v>2.3250000000000002</v>
      </c>
      <c r="J198" s="1064">
        <v>5.5830000000000002</v>
      </c>
      <c r="K198" s="1064">
        <v>5.5830000000000002</v>
      </c>
      <c r="L198" s="1064">
        <v>5.5830000000000002</v>
      </c>
      <c r="M198" s="1064">
        <v>5.5830000000000002</v>
      </c>
      <c r="N198" s="1064">
        <v>8.0220000000000002</v>
      </c>
      <c r="O198" s="1064">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B1" zoomScaleNormal="100" workbookViewId="0">
      <pane ySplit="1" topLeftCell="A6" activePane="bottomLeft" state="frozen"/>
      <selection pane="bottomLeft" activeCell="B9" sqref="B9"/>
    </sheetView>
  </sheetViews>
  <sheetFormatPr defaultColWidth="10.7773437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237" t="s">
        <v>37</v>
      </c>
      <c r="B2" s="1238"/>
      <c r="C2" s="1238"/>
      <c r="D2" s="1239"/>
      <c r="E2" s="30"/>
      <c r="F2" s="30"/>
    </row>
    <row r="3" spans="1:6" ht="148.35" customHeight="1" x14ac:dyDescent="0.3">
      <c r="A3" s="19" t="s">
        <v>910</v>
      </c>
      <c r="B3" s="14" t="s">
        <v>909</v>
      </c>
      <c r="C3" s="14" t="s">
        <v>908</v>
      </c>
      <c r="D3" s="23" t="s">
        <v>996</v>
      </c>
    </row>
    <row r="4" spans="1:6" ht="148.35" customHeight="1" x14ac:dyDescent="0.3">
      <c r="A4" s="19" t="s">
        <v>79</v>
      </c>
      <c r="B4" s="14" t="s">
        <v>40</v>
      </c>
      <c r="C4" s="14" t="s">
        <v>980</v>
      </c>
      <c r="D4" s="23" t="s">
        <v>996</v>
      </c>
      <c r="E4" s="14"/>
      <c r="F4" s="14"/>
    </row>
    <row r="5" spans="1:6" ht="61.5" customHeight="1" x14ac:dyDescent="0.3">
      <c r="A5" s="19" t="s">
        <v>73</v>
      </c>
      <c r="B5" s="14" t="s">
        <v>74</v>
      </c>
      <c r="C5" s="32" t="s">
        <v>44</v>
      </c>
      <c r="D5" s="23" t="s">
        <v>996</v>
      </c>
    </row>
    <row r="6" spans="1:6" ht="78" customHeight="1" x14ac:dyDescent="0.3">
      <c r="A6" s="19" t="s">
        <v>45</v>
      </c>
      <c r="B6" s="14" t="s">
        <v>46</v>
      </c>
      <c r="C6" s="14" t="s">
        <v>927</v>
      </c>
      <c r="D6" s="23" t="s">
        <v>996</v>
      </c>
      <c r="E6" s="14"/>
      <c r="F6" s="14"/>
    </row>
    <row r="7" spans="1:6" ht="50.85" customHeight="1" x14ac:dyDescent="0.3">
      <c r="A7" s="19" t="s">
        <v>870</v>
      </c>
      <c r="B7" s="14" t="s">
        <v>882</v>
      </c>
      <c r="C7" s="14" t="s">
        <v>1518</v>
      </c>
      <c r="D7" s="23" t="s">
        <v>996</v>
      </c>
      <c r="E7" s="16"/>
      <c r="F7" s="14"/>
    </row>
    <row r="8" spans="1:6" ht="29.85" customHeight="1" x14ac:dyDescent="0.3">
      <c r="A8" s="19" t="s">
        <v>75</v>
      </c>
      <c r="B8" s="14" t="s">
        <v>76</v>
      </c>
      <c r="C8" s="14" t="s">
        <v>77</v>
      </c>
      <c r="D8" s="23" t="s">
        <v>996</v>
      </c>
      <c r="E8" s="16"/>
      <c r="F8" s="14"/>
    </row>
    <row r="9" spans="1:6" ht="48.6" customHeight="1" x14ac:dyDescent="0.3">
      <c r="A9" s="19" t="s">
        <v>47</v>
      </c>
      <c r="B9" s="14" t="s">
        <v>48</v>
      </c>
      <c r="C9" s="14" t="s">
        <v>901</v>
      </c>
      <c r="D9" s="23" t="s">
        <v>996</v>
      </c>
      <c r="E9" s="16"/>
      <c r="F9" s="14"/>
    </row>
    <row r="10" spans="1:6" ht="22.5" customHeight="1" x14ac:dyDescent="0.3">
      <c r="A10" s="1237" t="s">
        <v>902</v>
      </c>
      <c r="B10" s="1238"/>
      <c r="C10" s="1238"/>
      <c r="D10" s="1239"/>
      <c r="E10" s="16"/>
      <c r="F10" s="14"/>
    </row>
    <row r="11" spans="1:6" ht="22.5" customHeight="1" x14ac:dyDescent="0.3">
      <c r="A11" s="20" t="s">
        <v>75</v>
      </c>
      <c r="B11" s="1250" t="s">
        <v>912</v>
      </c>
      <c r="C11" s="1251"/>
      <c r="D11" s="31"/>
      <c r="E11" s="16"/>
      <c r="F11" s="14"/>
    </row>
    <row r="12" spans="1:6" ht="33" customHeight="1" x14ac:dyDescent="0.3">
      <c r="A12" s="20" t="s">
        <v>911</v>
      </c>
      <c r="B12" s="1243" t="s">
        <v>913</v>
      </c>
      <c r="C12" s="1243"/>
      <c r="D12" s="23"/>
      <c r="E12" s="14"/>
      <c r="F12" s="14"/>
    </row>
    <row r="13" spans="1:6" ht="39.6" customHeight="1" x14ac:dyDescent="0.3">
      <c r="A13" s="18" t="s">
        <v>903</v>
      </c>
      <c r="B13" s="1243" t="s">
        <v>914</v>
      </c>
      <c r="C13" s="1243"/>
      <c r="D13" s="23"/>
    </row>
    <row r="14" spans="1:6" ht="38.85" customHeight="1" x14ac:dyDescent="0.3">
      <c r="A14" s="18" t="s">
        <v>905</v>
      </c>
      <c r="B14" s="1243" t="s">
        <v>906</v>
      </c>
      <c r="C14" s="1243"/>
      <c r="D14" s="23"/>
    </row>
    <row r="15" spans="1:6" ht="20.100000000000001" customHeight="1" x14ac:dyDescent="0.3">
      <c r="A15" s="1240" t="s">
        <v>59</v>
      </c>
      <c r="B15" s="1241"/>
      <c r="C15" s="1241"/>
      <c r="D15" s="1242"/>
    </row>
    <row r="16" spans="1:6" ht="24.6" customHeight="1" x14ac:dyDescent="0.3">
      <c r="A16" s="1244" t="s">
        <v>878</v>
      </c>
      <c r="B16" s="1245"/>
      <c r="C16" s="1246"/>
      <c r="D16" s="23"/>
    </row>
    <row r="17" spans="1:7" ht="101.85" customHeight="1" x14ac:dyDescent="0.3">
      <c r="A17" s="18" t="s">
        <v>60</v>
      </c>
      <c r="B17" s="33" t="s">
        <v>928</v>
      </c>
      <c r="C17" s="33" t="s">
        <v>935</v>
      </c>
      <c r="D17" s="34"/>
      <c r="E17" s="33"/>
      <c r="F17" s="33"/>
      <c r="G17" s="33"/>
    </row>
    <row r="18" spans="1:7" ht="101.1" customHeight="1" x14ac:dyDescent="0.3">
      <c r="A18" s="18" t="s">
        <v>61</v>
      </c>
      <c r="B18" s="33" t="s">
        <v>929</v>
      </c>
      <c r="C18" s="33" t="s">
        <v>930</v>
      </c>
      <c r="D18" s="34"/>
      <c r="E18" s="33"/>
      <c r="F18" s="33"/>
      <c r="G18" s="33"/>
    </row>
    <row r="19" spans="1:7" ht="57.6" customHeight="1" x14ac:dyDescent="0.3">
      <c r="A19" s="18" t="s">
        <v>931</v>
      </c>
      <c r="B19" s="33" t="s">
        <v>932</v>
      </c>
      <c r="C19" s="33" t="s">
        <v>933</v>
      </c>
      <c r="D19" s="34"/>
      <c r="E19" s="33"/>
      <c r="F19" s="33"/>
      <c r="G19" s="33"/>
    </row>
    <row r="20" spans="1:7" ht="37.5" customHeight="1" x14ac:dyDescent="0.3">
      <c r="A20" s="1247" t="s">
        <v>877</v>
      </c>
      <c r="B20" s="1248"/>
      <c r="C20" s="1249"/>
      <c r="D20" s="23"/>
    </row>
    <row r="21" spans="1:7" x14ac:dyDescent="0.3">
      <c r="A21" s="1240" t="s">
        <v>62</v>
      </c>
      <c r="B21" s="1241"/>
      <c r="C21" s="1241"/>
      <c r="D21" s="1242"/>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920</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0.77734375" defaultRowHeight="14.4" x14ac:dyDescent="0.3"/>
  <cols>
    <col min="1" max="1" width="77.77734375" customWidth="1"/>
    <col min="2" max="2" width="21" customWidth="1"/>
    <col min="5" max="5" width="37.44140625" customWidth="1"/>
    <col min="6" max="6" width="16" customWidth="1"/>
  </cols>
  <sheetData>
    <row r="1" spans="1:6" x14ac:dyDescent="0.3">
      <c r="A1" s="213" t="s">
        <v>607</v>
      </c>
    </row>
    <row r="2" spans="1:6" ht="20.85" customHeight="1" x14ac:dyDescent="0.35">
      <c r="A2" s="1136" t="s">
        <v>608</v>
      </c>
      <c r="B2" s="1136" t="s">
        <v>609</v>
      </c>
      <c r="C2" s="1136" t="s">
        <v>610</v>
      </c>
      <c r="D2" s="1136" t="s">
        <v>611</v>
      </c>
    </row>
    <row r="3" spans="1:6" x14ac:dyDescent="0.3">
      <c r="A3" s="1137" t="s">
        <v>612</v>
      </c>
      <c r="B3" s="1019">
        <f>SUM(B4:B7)</f>
        <v>325</v>
      </c>
      <c r="E3" s="1437" t="s">
        <v>613</v>
      </c>
      <c r="F3" s="1437"/>
    </row>
    <row r="4" spans="1:6" x14ac:dyDescent="0.3">
      <c r="A4" s="885" t="s">
        <v>614</v>
      </c>
      <c r="B4" s="1019">
        <v>284</v>
      </c>
      <c r="E4" s="491" t="s">
        <v>51</v>
      </c>
      <c r="F4" s="491" t="s">
        <v>615</v>
      </c>
    </row>
    <row r="5" spans="1:6" x14ac:dyDescent="0.3">
      <c r="A5" s="885" t="s">
        <v>463</v>
      </c>
      <c r="B5" s="1019">
        <v>20</v>
      </c>
      <c r="E5" s="213" t="s">
        <v>150</v>
      </c>
      <c r="F5" s="213">
        <f>SUM(B11:B16)</f>
        <v>82</v>
      </c>
    </row>
    <row r="6" spans="1:6" x14ac:dyDescent="0.3">
      <c r="A6" s="885" t="s">
        <v>470</v>
      </c>
      <c r="B6" s="1019">
        <v>15</v>
      </c>
      <c r="E6" s="213" t="s">
        <v>49</v>
      </c>
      <c r="F6" s="213">
        <f>B23</f>
        <v>3</v>
      </c>
    </row>
    <row r="7" spans="1:6" x14ac:dyDescent="0.3">
      <c r="A7" s="885" t="s">
        <v>471</v>
      </c>
      <c r="B7" s="1019">
        <v>6</v>
      </c>
      <c r="E7" s="213" t="s">
        <v>390</v>
      </c>
      <c r="F7" s="213">
        <f>B27-B28</f>
        <v>29</v>
      </c>
    </row>
    <row r="8" spans="1:6" x14ac:dyDescent="0.3">
      <c r="A8" s="491" t="s">
        <v>616</v>
      </c>
      <c r="B8" s="1019">
        <v>121</v>
      </c>
      <c r="E8" s="213" t="s">
        <v>407</v>
      </c>
      <c r="F8" s="213">
        <f>B42</f>
        <v>2</v>
      </c>
    </row>
    <row r="9" spans="1:6" x14ac:dyDescent="0.3">
      <c r="A9" s="1138" t="s">
        <v>617</v>
      </c>
      <c r="B9" s="1019">
        <v>166</v>
      </c>
      <c r="E9" s="213" t="s">
        <v>618</v>
      </c>
      <c r="F9" s="213">
        <f>B18+B20+B21</f>
        <v>34</v>
      </c>
    </row>
    <row r="10" spans="1:6" x14ac:dyDescent="0.3">
      <c r="A10" s="1135" t="s">
        <v>619</v>
      </c>
      <c r="B10" s="1019">
        <v>82</v>
      </c>
      <c r="E10" s="491" t="s">
        <v>620</v>
      </c>
      <c r="F10" s="491" t="s">
        <v>621</v>
      </c>
    </row>
    <row r="11" spans="1:6" x14ac:dyDescent="0.3">
      <c r="A11" s="885" t="s">
        <v>622</v>
      </c>
      <c r="B11" s="1019">
        <v>54</v>
      </c>
      <c r="E11" s="213" t="s">
        <v>363</v>
      </c>
      <c r="F11" s="213">
        <f>B4</f>
        <v>284</v>
      </c>
    </row>
    <row r="12" spans="1:6" x14ac:dyDescent="0.3">
      <c r="A12" s="885" t="s">
        <v>623</v>
      </c>
      <c r="B12" s="1019">
        <v>20</v>
      </c>
      <c r="E12" s="213" t="s">
        <v>624</v>
      </c>
      <c r="F12" s="213">
        <f>B5</f>
        <v>20</v>
      </c>
    </row>
    <row r="13" spans="1:6" x14ac:dyDescent="0.3">
      <c r="A13" s="885" t="s">
        <v>625</v>
      </c>
      <c r="B13" s="1019">
        <v>4</v>
      </c>
      <c r="E13" s="213" t="s">
        <v>470</v>
      </c>
      <c r="F13" s="213">
        <f>B6</f>
        <v>15</v>
      </c>
    </row>
    <row r="14" spans="1:6" ht="27.6" customHeight="1" x14ac:dyDescent="0.3">
      <c r="A14" s="885" t="s">
        <v>626</v>
      </c>
      <c r="B14" s="1019">
        <v>2</v>
      </c>
      <c r="E14" s="449" t="s">
        <v>471</v>
      </c>
      <c r="F14" s="213">
        <f>B7</f>
        <v>6</v>
      </c>
    </row>
    <row r="15" spans="1:6" ht="27.6" customHeight="1" x14ac:dyDescent="0.3">
      <c r="A15" s="885" t="s">
        <v>627</v>
      </c>
      <c r="B15" s="1019">
        <v>1</v>
      </c>
      <c r="E15" s="449" t="s">
        <v>628</v>
      </c>
      <c r="F15" s="213">
        <f>B28</f>
        <v>15</v>
      </c>
    </row>
    <row r="16" spans="1:6" x14ac:dyDescent="0.3">
      <c r="A16" s="885" t="s">
        <v>629</v>
      </c>
      <c r="B16" s="1019">
        <v>1</v>
      </c>
      <c r="E16" s="213" t="s">
        <v>630</v>
      </c>
      <c r="F16" s="213">
        <f>B37</f>
        <v>12</v>
      </c>
    </row>
    <row r="17" spans="1:6" x14ac:dyDescent="0.3">
      <c r="A17" s="491" t="s">
        <v>631</v>
      </c>
      <c r="B17" s="1019">
        <v>72</v>
      </c>
      <c r="E17" s="213" t="s">
        <v>632</v>
      </c>
      <c r="F17" s="213">
        <f>B38</f>
        <v>10</v>
      </c>
    </row>
    <row r="18" spans="1:6" x14ac:dyDescent="0.3">
      <c r="A18" s="885" t="s">
        <v>633</v>
      </c>
      <c r="B18" s="1019">
        <v>22</v>
      </c>
      <c r="C18" s="213" t="s">
        <v>634</v>
      </c>
    </row>
    <row r="19" spans="1:6" x14ac:dyDescent="0.3">
      <c r="A19" s="885" t="s">
        <v>635</v>
      </c>
      <c r="B19" s="1019">
        <v>20</v>
      </c>
      <c r="C19" s="213" t="s">
        <v>109</v>
      </c>
    </row>
    <row r="20" spans="1:6" x14ac:dyDescent="0.3">
      <c r="A20" s="885" t="s">
        <v>636</v>
      </c>
      <c r="B20" s="1019">
        <v>8</v>
      </c>
      <c r="C20" s="213" t="s">
        <v>634</v>
      </c>
    </row>
    <row r="21" spans="1:6" x14ac:dyDescent="0.3">
      <c r="A21" s="885" t="s">
        <v>637</v>
      </c>
      <c r="B21" s="1019">
        <v>4</v>
      </c>
      <c r="C21" s="213" t="s">
        <v>51</v>
      </c>
    </row>
    <row r="22" spans="1:6" x14ac:dyDescent="0.3">
      <c r="A22" s="885" t="s">
        <v>638</v>
      </c>
      <c r="B22" s="1019">
        <v>4</v>
      </c>
      <c r="C22" s="213" t="s">
        <v>109</v>
      </c>
    </row>
    <row r="23" spans="1:6" x14ac:dyDescent="0.3">
      <c r="A23" s="885" t="s">
        <v>639</v>
      </c>
      <c r="B23" s="1019">
        <v>3</v>
      </c>
      <c r="C23" s="213" t="s">
        <v>640</v>
      </c>
    </row>
    <row r="24" spans="1:6" x14ac:dyDescent="0.3">
      <c r="A24" s="885" t="s">
        <v>641</v>
      </c>
      <c r="B24" s="1019">
        <v>3</v>
      </c>
      <c r="C24" s="213" t="s">
        <v>642</v>
      </c>
    </row>
    <row r="25" spans="1:6" x14ac:dyDescent="0.3">
      <c r="A25" s="1139" t="s">
        <v>643</v>
      </c>
      <c r="B25" s="1019">
        <v>3</v>
      </c>
      <c r="C25" s="213" t="s">
        <v>55</v>
      </c>
    </row>
    <row r="26" spans="1:6" x14ac:dyDescent="0.3">
      <c r="A26" s="885" t="s">
        <v>644</v>
      </c>
      <c r="B26" s="1019">
        <v>4</v>
      </c>
      <c r="C26" s="213" t="s">
        <v>645</v>
      </c>
    </row>
    <row r="27" spans="1:6" x14ac:dyDescent="0.3">
      <c r="A27" s="491" t="s">
        <v>390</v>
      </c>
      <c r="B27" s="1019">
        <v>44</v>
      </c>
    </row>
    <row r="28" spans="1:6" x14ac:dyDescent="0.3">
      <c r="A28" s="1132" t="s">
        <v>628</v>
      </c>
      <c r="B28" s="1133">
        <v>15</v>
      </c>
    </row>
    <row r="29" spans="1:6" x14ac:dyDescent="0.3">
      <c r="A29" s="885" t="s">
        <v>646</v>
      </c>
      <c r="B29" s="1019">
        <v>14</v>
      </c>
    </row>
    <row r="30" spans="1:6" x14ac:dyDescent="0.3">
      <c r="A30" s="885" t="s">
        <v>647</v>
      </c>
      <c r="B30" s="1019">
        <v>10</v>
      </c>
    </row>
    <row r="31" spans="1:6" x14ac:dyDescent="0.3">
      <c r="A31" s="885" t="s">
        <v>648</v>
      </c>
      <c r="B31" s="1019">
        <v>2</v>
      </c>
    </row>
    <row r="32" spans="1:6" x14ac:dyDescent="0.3">
      <c r="A32" s="885" t="s">
        <v>649</v>
      </c>
      <c r="B32" s="1019">
        <v>2</v>
      </c>
    </row>
    <row r="33" spans="1:6" x14ac:dyDescent="0.3">
      <c r="A33" s="885" t="s">
        <v>650</v>
      </c>
      <c r="B33" s="1019">
        <v>1</v>
      </c>
    </row>
    <row r="34" spans="1:6" x14ac:dyDescent="0.3">
      <c r="A34" s="491" t="s">
        <v>651</v>
      </c>
      <c r="B34" s="1019">
        <v>88</v>
      </c>
    </row>
    <row r="35" spans="1:6" x14ac:dyDescent="0.3">
      <c r="A35" s="1139" t="s">
        <v>652</v>
      </c>
      <c r="B35" s="1019">
        <v>26</v>
      </c>
    </row>
    <row r="36" spans="1:6" x14ac:dyDescent="0.3">
      <c r="A36" s="885" t="s">
        <v>653</v>
      </c>
      <c r="B36" s="1019">
        <v>25</v>
      </c>
    </row>
    <row r="37" spans="1:6" x14ac:dyDescent="0.3">
      <c r="A37" s="885" t="s">
        <v>630</v>
      </c>
      <c r="B37" s="1019">
        <v>12</v>
      </c>
      <c r="C37" s="213" t="s">
        <v>654</v>
      </c>
      <c r="E37" s="213" t="s">
        <v>655</v>
      </c>
      <c r="F37" s="213" t="s">
        <v>656</v>
      </c>
    </row>
    <row r="38" spans="1:6" x14ac:dyDescent="0.3">
      <c r="A38" s="885" t="s">
        <v>632</v>
      </c>
      <c r="B38" s="1019">
        <v>10</v>
      </c>
      <c r="C38" s="213" t="s">
        <v>654</v>
      </c>
      <c r="E38" s="213" t="s">
        <v>657</v>
      </c>
      <c r="F38" s="213" t="s">
        <v>658</v>
      </c>
    </row>
    <row r="39" spans="1:6" x14ac:dyDescent="0.3">
      <c r="A39" s="885" t="s">
        <v>659</v>
      </c>
      <c r="B39" s="1019">
        <v>7</v>
      </c>
      <c r="C39" s="213" t="s">
        <v>645</v>
      </c>
      <c r="E39" s="213" t="s">
        <v>660</v>
      </c>
      <c r="F39" s="213" t="s">
        <v>661</v>
      </c>
    </row>
    <row r="40" spans="1:6" x14ac:dyDescent="0.3">
      <c r="A40" s="885" t="s">
        <v>662</v>
      </c>
      <c r="B40" s="1019">
        <v>5</v>
      </c>
      <c r="C40" s="213" t="s">
        <v>109</v>
      </c>
      <c r="E40" s="213" t="s">
        <v>663</v>
      </c>
    </row>
    <row r="41" spans="1:6" x14ac:dyDescent="0.3">
      <c r="A41" s="885" t="s">
        <v>664</v>
      </c>
      <c r="B41" s="1019">
        <v>2</v>
      </c>
      <c r="C41" s="213" t="s">
        <v>645</v>
      </c>
      <c r="E41" s="213" t="s">
        <v>665</v>
      </c>
    </row>
    <row r="42" spans="1:6" x14ac:dyDescent="0.3">
      <c r="A42" s="885" t="s">
        <v>666</v>
      </c>
      <c r="B42" s="1019">
        <v>2</v>
      </c>
      <c r="C42" s="213" t="s">
        <v>634</v>
      </c>
      <c r="E42" s="1134" t="s">
        <v>667</v>
      </c>
    </row>
    <row r="43" spans="1:6" x14ac:dyDescent="0.3">
      <c r="A43" s="885" t="s">
        <v>668</v>
      </c>
      <c r="B43" s="1019">
        <v>0</v>
      </c>
      <c r="E43" s="213" t="s">
        <v>669</v>
      </c>
    </row>
    <row r="44" spans="1:6" x14ac:dyDescent="0.3">
      <c r="A44" s="491" t="s">
        <v>670</v>
      </c>
      <c r="B44" s="1019">
        <v>40</v>
      </c>
    </row>
    <row r="45" spans="1:6" x14ac:dyDescent="0.3">
      <c r="A45" s="1139" t="s">
        <v>671</v>
      </c>
      <c r="B45" s="1140">
        <v>21</v>
      </c>
    </row>
    <row r="46" spans="1:6" x14ac:dyDescent="0.3">
      <c r="A46" s="885" t="s">
        <v>672</v>
      </c>
      <c r="B46" s="1019">
        <v>6</v>
      </c>
    </row>
    <row r="47" spans="1:6" x14ac:dyDescent="0.3">
      <c r="A47" s="1139" t="s">
        <v>673</v>
      </c>
      <c r="B47" s="1140">
        <v>4</v>
      </c>
    </row>
    <row r="48" spans="1:6" x14ac:dyDescent="0.3">
      <c r="A48" s="885" t="s">
        <v>674</v>
      </c>
      <c r="B48" s="1019">
        <v>4</v>
      </c>
    </row>
    <row r="49" spans="1:2" x14ac:dyDescent="0.3">
      <c r="A49" s="1139" t="s">
        <v>675</v>
      </c>
      <c r="B49" s="1140">
        <v>3</v>
      </c>
    </row>
    <row r="50" spans="1:2" x14ac:dyDescent="0.3">
      <c r="A50" s="885" t="s">
        <v>676</v>
      </c>
      <c r="B50" s="101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0.7773437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886</v>
      </c>
      <c r="I1" s="1438"/>
      <c r="J1" s="1438"/>
      <c r="K1" s="1438"/>
    </row>
    <row r="2" spans="1:62" ht="13.35" customHeight="1" x14ac:dyDescent="0.3">
      <c r="A2" s="1153"/>
      <c r="O2" s="1180" t="s">
        <v>848</v>
      </c>
      <c r="P2" s="1444" t="s">
        <v>677</v>
      </c>
      <c r="Q2" s="1444"/>
      <c r="R2" s="1444"/>
      <c r="S2" s="1444"/>
      <c r="T2" s="1183"/>
      <c r="U2" s="1183"/>
      <c r="V2" s="1183"/>
      <c r="W2" s="1183"/>
      <c r="X2" s="1183"/>
      <c r="Y2" s="1439" t="s">
        <v>678</v>
      </c>
      <c r="Z2" s="1440"/>
      <c r="AA2" s="1440"/>
      <c r="AB2" s="1440"/>
      <c r="AC2" s="1440"/>
      <c r="AD2" s="1440"/>
      <c r="AE2" s="1183"/>
      <c r="AF2" s="1183"/>
      <c r="AG2" s="1441" t="s">
        <v>679</v>
      </c>
      <c r="AH2" s="1440"/>
      <c r="AI2" s="1440"/>
      <c r="AJ2" s="1443" t="s">
        <v>680</v>
      </c>
      <c r="AK2" s="1443"/>
      <c r="AL2" s="1443"/>
      <c r="AM2" s="1443"/>
      <c r="AN2" s="1443"/>
      <c r="AO2" s="1443"/>
      <c r="AP2" s="1443"/>
      <c r="AQ2" s="1443"/>
      <c r="AR2" s="1443"/>
      <c r="AS2" s="1443"/>
      <c r="AT2" s="1184"/>
      <c r="AU2" s="1442" t="s">
        <v>433</v>
      </c>
      <c r="AV2" s="1442"/>
      <c r="AW2" s="1442"/>
      <c r="AX2" s="1442"/>
      <c r="AY2" s="1442"/>
      <c r="AZ2" s="1442"/>
      <c r="BA2" s="1442"/>
      <c r="BB2" s="1164"/>
      <c r="BC2" s="1164"/>
      <c r="BD2" s="1164"/>
      <c r="BE2" s="1164"/>
      <c r="BF2" s="1164"/>
      <c r="BG2" s="1164"/>
      <c r="BH2" s="1164"/>
      <c r="BI2" s="1164"/>
      <c r="BJ2" s="1170" t="s">
        <v>681</v>
      </c>
    </row>
    <row r="3" spans="1:62" ht="43.35" customHeight="1" x14ac:dyDescent="0.3">
      <c r="A3" s="1154"/>
      <c r="B3" s="1154"/>
      <c r="C3" s="1154"/>
      <c r="D3" s="1154"/>
      <c r="E3" s="1154"/>
      <c r="F3" s="1154"/>
      <c r="G3" s="1154"/>
      <c r="H3" s="1154"/>
      <c r="I3" s="1154"/>
      <c r="J3" s="1154"/>
      <c r="K3" s="1154"/>
      <c r="L3" s="1154"/>
      <c r="M3" s="1154"/>
      <c r="N3" s="1154"/>
      <c r="O3" s="1181" t="s">
        <v>682</v>
      </c>
      <c r="P3" s="1163" t="s">
        <v>683</v>
      </c>
      <c r="Q3" s="1163" t="s">
        <v>684</v>
      </c>
      <c r="R3" s="1163" t="s">
        <v>685</v>
      </c>
      <c r="S3" s="1163" t="s">
        <v>686</v>
      </c>
      <c r="T3" s="1163" t="s">
        <v>687</v>
      </c>
      <c r="U3" s="1163" t="s">
        <v>688</v>
      </c>
      <c r="V3" s="1163" t="s">
        <v>689</v>
      </c>
      <c r="W3" s="1163" t="s">
        <v>690</v>
      </c>
      <c r="X3" s="1163" t="s">
        <v>691</v>
      </c>
      <c r="Y3" s="1163" t="s">
        <v>692</v>
      </c>
      <c r="Z3" s="1163"/>
      <c r="AA3" s="1163"/>
      <c r="AB3" s="1163"/>
      <c r="AC3" s="1163" t="s">
        <v>693</v>
      </c>
      <c r="AD3" s="1163" t="s">
        <v>694</v>
      </c>
      <c r="AE3" s="1163" t="s">
        <v>695</v>
      </c>
      <c r="AF3" s="1163" t="s">
        <v>696</v>
      </c>
      <c r="AG3" s="1163" t="s">
        <v>697</v>
      </c>
      <c r="AH3" s="1163" t="s">
        <v>698</v>
      </c>
      <c r="AI3" s="1163" t="s">
        <v>699</v>
      </c>
      <c r="AJ3" s="1163" t="s">
        <v>700</v>
      </c>
      <c r="AK3" s="1163" t="s">
        <v>701</v>
      </c>
      <c r="AL3" s="1163" t="s">
        <v>702</v>
      </c>
      <c r="AM3" s="1163" t="s">
        <v>703</v>
      </c>
      <c r="AN3" s="1163" t="s">
        <v>704</v>
      </c>
      <c r="AO3" s="1163" t="s">
        <v>705</v>
      </c>
      <c r="AP3" s="1163" t="s">
        <v>706</v>
      </c>
      <c r="AQ3" s="1176" t="s">
        <v>707</v>
      </c>
      <c r="AR3" s="1163" t="s">
        <v>708</v>
      </c>
      <c r="AS3" s="1163" t="s">
        <v>709</v>
      </c>
      <c r="AT3" s="1163" t="s">
        <v>710</v>
      </c>
      <c r="AU3" s="1163" t="s">
        <v>711</v>
      </c>
      <c r="AV3" s="1163" t="s">
        <v>712</v>
      </c>
      <c r="AW3" s="1163" t="s">
        <v>713</v>
      </c>
      <c r="AX3" s="1163" t="s">
        <v>714</v>
      </c>
      <c r="AY3" s="1163" t="s">
        <v>715</v>
      </c>
      <c r="AZ3" s="1163" t="s">
        <v>716</v>
      </c>
      <c r="BA3" s="1163" t="s">
        <v>693</v>
      </c>
      <c r="BB3" s="1171" t="s">
        <v>717</v>
      </c>
      <c r="BC3" s="1171" t="s">
        <v>718</v>
      </c>
      <c r="BD3" s="1171" t="s">
        <v>719</v>
      </c>
      <c r="BE3" s="1171" t="s">
        <v>720</v>
      </c>
      <c r="BF3" s="1171" t="s">
        <v>721</v>
      </c>
      <c r="BG3" s="1171" t="s">
        <v>722</v>
      </c>
      <c r="BH3" s="1171" t="s">
        <v>723</v>
      </c>
      <c r="BI3" s="1171" t="s">
        <v>724</v>
      </c>
      <c r="BJ3" s="1165" t="s">
        <v>725</v>
      </c>
    </row>
    <row r="4" spans="1:62" ht="63" customHeight="1" x14ac:dyDescent="0.3">
      <c r="A4" s="1174" t="s">
        <v>726</v>
      </c>
      <c r="B4" s="1153" t="s">
        <v>56</v>
      </c>
      <c r="C4" s="1153" t="s">
        <v>727</v>
      </c>
      <c r="D4" s="1153" t="s">
        <v>597</v>
      </c>
      <c r="E4" s="1153" t="s">
        <v>728</v>
      </c>
      <c r="F4" s="1153" t="s">
        <v>729</v>
      </c>
      <c r="G4" s="1153" t="s">
        <v>730</v>
      </c>
      <c r="H4" s="1153" t="s">
        <v>131</v>
      </c>
      <c r="I4" s="1160" t="s">
        <v>395</v>
      </c>
      <c r="J4" s="1160" t="s">
        <v>150</v>
      </c>
      <c r="K4" s="1160" t="s">
        <v>731</v>
      </c>
      <c r="L4" s="1158" t="s">
        <v>159</v>
      </c>
      <c r="M4" s="1153" t="s">
        <v>109</v>
      </c>
      <c r="N4" s="1153" t="s">
        <v>732</v>
      </c>
      <c r="O4" s="1182" t="s">
        <v>733</v>
      </c>
      <c r="P4" s="1171" t="s">
        <v>734</v>
      </c>
      <c r="Q4" s="1171" t="s">
        <v>735</v>
      </c>
      <c r="R4" s="1171" t="s">
        <v>736</v>
      </c>
      <c r="S4" s="1171" t="s">
        <v>737</v>
      </c>
      <c r="T4" s="1171" t="s">
        <v>738</v>
      </c>
      <c r="U4" s="1171" t="s">
        <v>739</v>
      </c>
      <c r="V4" s="1171" t="s">
        <v>740</v>
      </c>
      <c r="W4" s="1171" t="s">
        <v>741</v>
      </c>
      <c r="X4" s="1171" t="s">
        <v>742</v>
      </c>
      <c r="Y4" s="1171" t="s">
        <v>743</v>
      </c>
      <c r="Z4" s="1171" t="s">
        <v>744</v>
      </c>
      <c r="AA4" s="1171" t="s">
        <v>745</v>
      </c>
      <c r="AB4" s="1171" t="s">
        <v>746</v>
      </c>
      <c r="AC4" s="1171" t="s">
        <v>747</v>
      </c>
      <c r="AD4" s="1171" t="s">
        <v>748</v>
      </c>
      <c r="AE4" s="1171" t="s">
        <v>749</v>
      </c>
      <c r="AF4" s="1171" t="s">
        <v>750</v>
      </c>
      <c r="AG4" s="1171" t="s">
        <v>210</v>
      </c>
      <c r="AH4" s="1171" t="s">
        <v>211</v>
      </c>
      <c r="AI4" s="1171" t="s">
        <v>751</v>
      </c>
      <c r="AJ4" s="1171" t="s">
        <v>752</v>
      </c>
      <c r="AK4" s="1171" t="s">
        <v>753</v>
      </c>
      <c r="AL4" s="1171" t="s">
        <v>754</v>
      </c>
      <c r="AM4" s="1171" t="s">
        <v>755</v>
      </c>
      <c r="AN4" s="1171" t="s">
        <v>756</v>
      </c>
      <c r="AO4" s="1171" t="s">
        <v>757</v>
      </c>
      <c r="AP4" s="1171" t="s">
        <v>758</v>
      </c>
      <c r="AQ4" s="1172" t="s">
        <v>759</v>
      </c>
      <c r="AR4" s="1171" t="s">
        <v>760</v>
      </c>
      <c r="AS4" s="1171" t="s">
        <v>761</v>
      </c>
      <c r="AT4" s="1171" t="s">
        <v>762</v>
      </c>
      <c r="AU4" s="1171" t="s">
        <v>763</v>
      </c>
      <c r="AV4" s="1171" t="s">
        <v>764</v>
      </c>
      <c r="AW4" s="1171" t="s">
        <v>765</v>
      </c>
      <c r="AX4" s="1171" t="s">
        <v>766</v>
      </c>
      <c r="AY4" s="1171" t="s">
        <v>767</v>
      </c>
      <c r="AZ4" s="1171" t="s">
        <v>768</v>
      </c>
      <c r="BA4" s="1171"/>
      <c r="BB4" s="1171" t="s">
        <v>475</v>
      </c>
      <c r="BC4" s="1171" t="s">
        <v>769</v>
      </c>
      <c r="BD4" s="1171" t="s">
        <v>770</v>
      </c>
      <c r="BE4" s="1171" t="s">
        <v>771</v>
      </c>
      <c r="BF4" s="1171" t="s">
        <v>772</v>
      </c>
      <c r="BG4" s="1171" t="s">
        <v>773</v>
      </c>
      <c r="BH4" s="1171" t="s">
        <v>774</v>
      </c>
      <c r="BI4" s="1171" t="s">
        <v>775</v>
      </c>
      <c r="BJ4" s="1173" t="s">
        <v>776</v>
      </c>
    </row>
    <row r="5" spans="1:62" x14ac:dyDescent="0.3">
      <c r="A5" s="1155">
        <v>2021</v>
      </c>
      <c r="B5" s="1157">
        <f>Q5</f>
        <v>394.202</v>
      </c>
      <c r="C5" s="1157">
        <f>SUM(Y5:AB5)</f>
        <v>195.7</v>
      </c>
      <c r="D5" s="1157">
        <f>T5</f>
        <v>18.823</v>
      </c>
      <c r="E5" s="1157">
        <f>SUM(P5:S5)-B5</f>
        <v>0.77600000000001046</v>
      </c>
      <c r="F5" s="1157">
        <f>SUM(T5:AF5)-C5-L5-D5 - 28</f>
        <v>19.722000000000016</v>
      </c>
      <c r="G5" s="1157">
        <f>SUM(BB5:BI5)-BC5</f>
        <v>81.642999999999986</v>
      </c>
      <c r="H5" s="1157">
        <f>SUM(AG5:AI5)</f>
        <v>7.798</v>
      </c>
      <c r="I5" s="1157">
        <f>AJ5</f>
        <v>283.95749999999998</v>
      </c>
      <c r="J5" s="1157">
        <f>AL5</f>
        <v>12.347</v>
      </c>
      <c r="K5" s="1157">
        <f>SUM(AM5:AT5)</f>
        <v>29.628</v>
      </c>
      <c r="L5" s="1161">
        <f>103/4</f>
        <v>25.75</v>
      </c>
      <c r="M5" s="1157">
        <f t="shared" ref="M5:M16" si="0">SUM(AU5:BA5)</f>
        <v>31.939</v>
      </c>
      <c r="N5" s="1157">
        <f>AK5</f>
        <v>3.4</v>
      </c>
      <c r="O5" s="1185">
        <v>50</v>
      </c>
      <c r="P5" s="1178">
        <v>0.55000000000000004</v>
      </c>
      <c r="Q5" s="1179">
        <v>394.202</v>
      </c>
      <c r="R5" s="1187">
        <v>0.14599999999999999</v>
      </c>
      <c r="S5" s="1187">
        <v>0.08</v>
      </c>
      <c r="T5" s="1187">
        <v>18.823</v>
      </c>
      <c r="U5" s="1179">
        <v>19</v>
      </c>
      <c r="V5" s="1187">
        <v>11.481999999999999</v>
      </c>
      <c r="W5" s="1150">
        <v>1.5580000000000001</v>
      </c>
      <c r="X5" s="1150">
        <v>0.74</v>
      </c>
      <c r="Y5" s="1179">
        <v>0.2</v>
      </c>
      <c r="Z5" s="1179">
        <v>43.1</v>
      </c>
      <c r="AA5" s="1179">
        <v>33.9</v>
      </c>
      <c r="AB5" s="1179">
        <v>118.5</v>
      </c>
      <c r="AC5" s="1179">
        <v>28</v>
      </c>
      <c r="AD5" s="1150">
        <v>-2.0379999999999998</v>
      </c>
      <c r="AE5" s="1179">
        <v>14.31</v>
      </c>
      <c r="AF5" s="1187">
        <v>0.42</v>
      </c>
      <c r="AG5" s="1187">
        <v>7.7279999999999998</v>
      </c>
      <c r="AH5" s="1179">
        <v>7.0000000000000007E-2</v>
      </c>
      <c r="AI5" s="1179">
        <v>0</v>
      </c>
      <c r="AJ5" s="1179">
        <v>283.95749999999998</v>
      </c>
      <c r="AK5" s="1177">
        <v>3.4</v>
      </c>
      <c r="AL5" s="1177">
        <v>12.347</v>
      </c>
      <c r="AM5" s="1188">
        <v>0.28599999999999998</v>
      </c>
      <c r="AN5" s="1177">
        <v>2</v>
      </c>
      <c r="AO5" s="1179">
        <v>0.81</v>
      </c>
      <c r="AP5" s="1177">
        <v>0.52100000000000002</v>
      </c>
      <c r="AQ5" s="1189">
        <v>10</v>
      </c>
      <c r="AR5" s="1177">
        <v>2.7</v>
      </c>
      <c r="AS5" s="1177">
        <v>0.751</v>
      </c>
      <c r="AT5" s="1179">
        <v>12.56</v>
      </c>
      <c r="AU5" s="1179">
        <v>0</v>
      </c>
      <c r="AV5" s="1177">
        <v>1.415</v>
      </c>
      <c r="AW5" s="1177">
        <v>10.51</v>
      </c>
      <c r="AX5" s="1177">
        <v>2.6</v>
      </c>
      <c r="AY5" s="1179">
        <v>-0.33</v>
      </c>
      <c r="AZ5" s="1177">
        <v>17.744</v>
      </c>
      <c r="BA5" s="1179">
        <v>0</v>
      </c>
      <c r="BB5" s="1177">
        <v>4.0999999999999996</v>
      </c>
      <c r="BC5" s="1177">
        <v>7.25</v>
      </c>
      <c r="BD5" s="1177">
        <v>48.4</v>
      </c>
      <c r="BE5" s="1187">
        <v>0.83</v>
      </c>
      <c r="BF5" s="1150">
        <v>4.5110000000000001</v>
      </c>
      <c r="BG5" s="1179">
        <v>3.0739999999999998</v>
      </c>
      <c r="BH5" s="1141">
        <v>-0.28399999999999997</v>
      </c>
      <c r="BI5" s="1177">
        <v>21.012</v>
      </c>
      <c r="BJ5" s="1166">
        <v>1.1599999999999999</v>
      </c>
    </row>
    <row r="6" spans="1:62" x14ac:dyDescent="0.3">
      <c r="A6" s="1155">
        <v>2022</v>
      </c>
      <c r="B6" s="1157">
        <f t="shared" ref="B6:B15" si="1">Q6</f>
        <v>17.465</v>
      </c>
      <c r="C6" s="1157">
        <f t="shared" ref="C6:C15" si="2">SUM(Y6:AB6)</f>
        <v>10.1</v>
      </c>
      <c r="D6" s="1157">
        <f t="shared" ref="D6:D15" si="3">T6</f>
        <v>2.5950000000000002</v>
      </c>
      <c r="E6" s="1157">
        <f t="shared" ref="E6:E15" si="4">SUM(P6:S6)-B6</f>
        <v>19.719000000000005</v>
      </c>
      <c r="F6" s="1157">
        <f>SUM(T6:AF6)-C6-L6-D6</f>
        <v>52.756999999999998</v>
      </c>
      <c r="G6" s="1157">
        <f t="shared" ref="G6:G16" si="5">SUM(BB6:BI6)-BC6</f>
        <v>110.24799999999999</v>
      </c>
      <c r="H6" s="1157">
        <f t="shared" ref="H6:H15" si="6">SUM(AG6:AI6)</f>
        <v>7.9489999999999998</v>
      </c>
      <c r="I6" s="1157">
        <f t="shared" ref="I6:I15" si="7">AJ6</f>
        <v>77.092500000000001</v>
      </c>
      <c r="J6" s="1157">
        <f t="shared" ref="J6:J15" si="8">AL6</f>
        <v>46.79</v>
      </c>
      <c r="K6" s="1157">
        <f t="shared" ref="K6:K16" si="9">SUM(AM6:AT6)</f>
        <v>35.671000000000006</v>
      </c>
      <c r="L6" s="1161">
        <v>0</v>
      </c>
      <c r="M6" s="1157">
        <f t="shared" si="0"/>
        <v>56.412999999999997</v>
      </c>
      <c r="N6" s="1157">
        <f t="shared" ref="N6:N15" si="10">AK6</f>
        <v>5.0999999999999996</v>
      </c>
      <c r="O6" s="1185">
        <v>55</v>
      </c>
      <c r="P6" s="1178">
        <v>15.61</v>
      </c>
      <c r="Q6" s="1179">
        <v>17.465</v>
      </c>
      <c r="R6" s="1187">
        <v>0.317</v>
      </c>
      <c r="S6" s="1187">
        <v>3.7919999999999998</v>
      </c>
      <c r="T6" s="1179">
        <v>2.5950000000000002</v>
      </c>
      <c r="U6" s="1177">
        <v>14.5</v>
      </c>
      <c r="V6" s="1179">
        <v>25.070999999999998</v>
      </c>
      <c r="W6" s="1150">
        <v>1.952</v>
      </c>
      <c r="X6" s="1150">
        <v>0.61399999999999999</v>
      </c>
      <c r="Y6" s="1177">
        <v>0</v>
      </c>
      <c r="Z6" s="1177">
        <v>2.2999999999999998</v>
      </c>
      <c r="AA6" s="1177">
        <v>1.6</v>
      </c>
      <c r="AB6" s="1177">
        <v>6.2</v>
      </c>
      <c r="AC6" s="1179">
        <v>0</v>
      </c>
      <c r="AD6" s="1179">
        <v>1.31</v>
      </c>
      <c r="AE6" s="1179">
        <v>8.61</v>
      </c>
      <c r="AF6" s="1179">
        <v>0.7</v>
      </c>
      <c r="AG6" s="1187">
        <v>7.782</v>
      </c>
      <c r="AH6" s="1179">
        <v>0.12</v>
      </c>
      <c r="AI6" s="1179">
        <v>4.7E-2</v>
      </c>
      <c r="AJ6" s="1179">
        <v>77.092500000000001</v>
      </c>
      <c r="AK6" s="1177">
        <v>5.0999999999999996</v>
      </c>
      <c r="AL6" s="1177">
        <v>46.79</v>
      </c>
      <c r="AM6" s="1141">
        <v>0.30499999999999999</v>
      </c>
      <c r="AN6" s="1177">
        <v>4.3</v>
      </c>
      <c r="AO6" s="1150">
        <v>1.1000000000000001</v>
      </c>
      <c r="AP6" s="1177">
        <v>1.575</v>
      </c>
      <c r="AQ6" s="1189">
        <v>10</v>
      </c>
      <c r="AR6" s="1177">
        <v>4.5</v>
      </c>
      <c r="AS6" s="1177">
        <v>1.9810000000000001</v>
      </c>
      <c r="AT6" s="1179">
        <v>11.91</v>
      </c>
      <c r="AU6" s="1179">
        <v>0</v>
      </c>
      <c r="AV6" s="1177">
        <v>3.927</v>
      </c>
      <c r="AW6" s="1177">
        <v>4.2880000000000003</v>
      </c>
      <c r="AX6" s="1177">
        <v>3.7</v>
      </c>
      <c r="AY6" s="1179">
        <v>-1.34</v>
      </c>
      <c r="AZ6" s="1177">
        <v>45.838000000000001</v>
      </c>
      <c r="BA6" s="1179">
        <v>0</v>
      </c>
      <c r="BB6" s="1177">
        <v>11.3</v>
      </c>
      <c r="BC6" s="1177">
        <v>0</v>
      </c>
      <c r="BD6" s="1177">
        <v>1.1000000000000001</v>
      </c>
      <c r="BE6" s="1187">
        <v>1.75</v>
      </c>
      <c r="BF6" s="1150">
        <v>1.7330000000000001</v>
      </c>
      <c r="BG6" s="1150">
        <v>7.1440000000000001</v>
      </c>
      <c r="BH6" s="1142">
        <v>81.608999999999995</v>
      </c>
      <c r="BI6" s="1177">
        <v>5.6120000000000001</v>
      </c>
      <c r="BJ6" s="1166">
        <v>4.2</v>
      </c>
    </row>
    <row r="7" spans="1:62" x14ac:dyDescent="0.3">
      <c r="A7" s="1155">
        <v>2023</v>
      </c>
      <c r="B7" s="1157">
        <f t="shared" si="1"/>
        <v>0.48599999999999999</v>
      </c>
      <c r="C7" s="1157">
        <f t="shared" si="2"/>
        <v>0</v>
      </c>
      <c r="D7" s="1157">
        <f t="shared" si="3"/>
        <v>0.93700000000000006</v>
      </c>
      <c r="E7" s="1157">
        <f t="shared" si="4"/>
        <v>1.4159999999999999</v>
      </c>
      <c r="F7" s="1157">
        <f t="shared" ref="F7:F15" si="11">SUM(T7:AF7)-C7-L7-D7</f>
        <v>12</v>
      </c>
      <c r="G7" s="1157">
        <f t="shared" si="5"/>
        <v>12.726000000000001</v>
      </c>
      <c r="H7" s="1157">
        <f t="shared" si="6"/>
        <v>4.7519999999999998</v>
      </c>
      <c r="I7" s="1157">
        <f t="shared" si="7"/>
        <v>1</v>
      </c>
      <c r="J7" s="1157">
        <f t="shared" si="8"/>
        <v>38.595999999999997</v>
      </c>
      <c r="K7" s="1157">
        <f t="shared" si="9"/>
        <v>24.216000000000001</v>
      </c>
      <c r="L7" s="1161">
        <v>0</v>
      </c>
      <c r="M7" s="1157">
        <f t="shared" si="0"/>
        <v>15.652999999999999</v>
      </c>
      <c r="N7" s="1157">
        <f t="shared" si="10"/>
        <v>0</v>
      </c>
      <c r="O7" s="1185">
        <v>0.7</v>
      </c>
      <c r="P7" s="1178">
        <v>0.96</v>
      </c>
      <c r="Q7" s="1179">
        <v>0.48599999999999999</v>
      </c>
      <c r="R7" s="1187">
        <v>0.45600000000000002</v>
      </c>
      <c r="S7" s="1179">
        <v>0</v>
      </c>
      <c r="T7" s="1143">
        <v>0.93700000000000006</v>
      </c>
      <c r="U7" s="1177">
        <v>3</v>
      </c>
      <c r="V7" s="1187">
        <v>7.891</v>
      </c>
      <c r="W7" s="1150">
        <v>0.61699999999999999</v>
      </c>
      <c r="X7" s="1150">
        <v>8.4000000000000005E-2</v>
      </c>
      <c r="Y7" s="1177">
        <v>0</v>
      </c>
      <c r="Z7" s="1177">
        <v>0</v>
      </c>
      <c r="AA7" s="1177">
        <v>0</v>
      </c>
      <c r="AB7" s="1177">
        <v>0</v>
      </c>
      <c r="AC7" s="1179">
        <v>0</v>
      </c>
      <c r="AD7" s="1179">
        <v>0.318</v>
      </c>
      <c r="AE7" s="1187">
        <v>-0.11000000000000001</v>
      </c>
      <c r="AF7" s="1179">
        <v>0.2</v>
      </c>
      <c r="AG7" s="1187">
        <v>4.6749999999999998</v>
      </c>
      <c r="AH7" s="1179">
        <v>0.06</v>
      </c>
      <c r="AI7" s="1179">
        <v>1.7000000000000001E-2</v>
      </c>
      <c r="AJ7" s="1179">
        <v>1</v>
      </c>
      <c r="AK7" s="1177">
        <v>0</v>
      </c>
      <c r="AL7" s="1177">
        <v>38.595999999999997</v>
      </c>
      <c r="AM7" s="1179">
        <v>0.14899999999999999</v>
      </c>
      <c r="AN7" s="1177">
        <v>1.2</v>
      </c>
      <c r="AO7" s="1150">
        <v>0.53</v>
      </c>
      <c r="AP7" s="1177">
        <v>0.38100000000000001</v>
      </c>
      <c r="AQ7" s="1189">
        <v>8</v>
      </c>
      <c r="AR7" s="1177">
        <v>4.5</v>
      </c>
      <c r="AS7" s="1177">
        <v>0.76600000000000001</v>
      </c>
      <c r="AT7" s="1179">
        <v>8.69</v>
      </c>
      <c r="AU7" s="1179">
        <v>0</v>
      </c>
      <c r="AV7" s="1177">
        <v>1.93</v>
      </c>
      <c r="AW7" s="1177">
        <v>1.4379999999999999</v>
      </c>
      <c r="AX7" s="1177">
        <v>2.6</v>
      </c>
      <c r="AY7" s="1150">
        <v>-2.48</v>
      </c>
      <c r="AZ7" s="1177">
        <v>12.164999999999999</v>
      </c>
      <c r="BA7" s="1150">
        <v>0</v>
      </c>
      <c r="BB7" s="1177">
        <v>8.4</v>
      </c>
      <c r="BC7" s="1177">
        <v>0</v>
      </c>
      <c r="BD7" s="1177">
        <v>0.3</v>
      </c>
      <c r="BE7" s="1187">
        <v>1.8</v>
      </c>
      <c r="BF7" s="1150">
        <v>0</v>
      </c>
      <c r="BG7" s="1150">
        <v>0</v>
      </c>
      <c r="BH7" s="1141">
        <v>1.3759999999999999</v>
      </c>
      <c r="BI7" s="1177">
        <v>0.85</v>
      </c>
      <c r="BJ7" s="1166">
        <v>2.7</v>
      </c>
    </row>
    <row r="8" spans="1:62" x14ac:dyDescent="0.3">
      <c r="A8" s="1155">
        <v>2024</v>
      </c>
      <c r="B8" s="1157">
        <f t="shared" si="1"/>
        <v>0</v>
      </c>
      <c r="C8" s="1157">
        <f t="shared" si="2"/>
        <v>0</v>
      </c>
      <c r="D8" s="1157">
        <f t="shared" si="3"/>
        <v>0.16</v>
      </c>
      <c r="E8" s="1157">
        <f t="shared" si="4"/>
        <v>1.4790000000000001</v>
      </c>
      <c r="F8" s="1157">
        <f t="shared" si="11"/>
        <v>4.2219999999999995</v>
      </c>
      <c r="G8" s="1157">
        <f t="shared" si="5"/>
        <v>1.365</v>
      </c>
      <c r="H8" s="1157">
        <f t="shared" si="6"/>
        <v>4.637999999999999</v>
      </c>
      <c r="I8" s="1157">
        <f t="shared" si="7"/>
        <v>0</v>
      </c>
      <c r="J8" s="1157">
        <f t="shared" si="8"/>
        <v>31.911000000000001</v>
      </c>
      <c r="K8" s="1157">
        <f t="shared" si="9"/>
        <v>9.6430000000000007</v>
      </c>
      <c r="L8" s="1161">
        <v>0</v>
      </c>
      <c r="M8" s="1157">
        <f t="shared" si="0"/>
        <v>3.9320000000000004</v>
      </c>
      <c r="N8" s="1157">
        <f t="shared" si="10"/>
        <v>0</v>
      </c>
      <c r="O8" s="1185">
        <v>0.7</v>
      </c>
      <c r="P8" s="1178">
        <v>0.96</v>
      </c>
      <c r="Q8" s="1177">
        <v>0</v>
      </c>
      <c r="R8" s="1187">
        <v>0.51900000000000002</v>
      </c>
      <c r="S8" s="1179">
        <v>0</v>
      </c>
      <c r="T8" s="1144">
        <v>0.16</v>
      </c>
      <c r="U8" s="1177">
        <v>2.8</v>
      </c>
      <c r="V8" s="1179">
        <v>0.504</v>
      </c>
      <c r="W8" s="1150">
        <v>0.47199999999999998</v>
      </c>
      <c r="X8" s="1150">
        <v>2E-3</v>
      </c>
      <c r="Y8" s="1177">
        <v>0</v>
      </c>
      <c r="Z8" s="1177">
        <v>0</v>
      </c>
      <c r="AA8" s="1177">
        <v>0</v>
      </c>
      <c r="AB8" s="1177">
        <v>0</v>
      </c>
      <c r="AC8" s="1179">
        <v>0</v>
      </c>
      <c r="AD8" s="1179">
        <v>0.34399999999999997</v>
      </c>
      <c r="AE8" s="1187">
        <v>0</v>
      </c>
      <c r="AF8" s="1187">
        <v>0.1</v>
      </c>
      <c r="AG8" s="1187">
        <v>4.5739999999999998</v>
      </c>
      <c r="AH8" s="1179">
        <v>0.06</v>
      </c>
      <c r="AI8" s="1179">
        <v>4.0000000000000001E-3</v>
      </c>
      <c r="AJ8" s="1179">
        <v>0</v>
      </c>
      <c r="AK8" s="1177">
        <v>0</v>
      </c>
      <c r="AL8" s="1177">
        <v>31.911000000000001</v>
      </c>
      <c r="AM8" s="1179">
        <v>4.1000000000000002E-2</v>
      </c>
      <c r="AN8" s="1177">
        <v>0.4</v>
      </c>
      <c r="AO8" s="1150">
        <v>0.41</v>
      </c>
      <c r="AP8" s="1177">
        <v>0.13100000000000001</v>
      </c>
      <c r="AQ8" s="1189">
        <v>0</v>
      </c>
      <c r="AR8" s="1177">
        <v>3</v>
      </c>
      <c r="AS8" s="1177">
        <v>0.30099999999999999</v>
      </c>
      <c r="AT8" s="1150">
        <v>5.36</v>
      </c>
      <c r="AU8" s="1179">
        <v>0</v>
      </c>
      <c r="AV8" s="1177">
        <v>0.79600000000000004</v>
      </c>
      <c r="AW8" s="1177">
        <v>0.27500000000000002</v>
      </c>
      <c r="AX8" s="1177">
        <v>1</v>
      </c>
      <c r="AY8" s="1150">
        <v>-2.6</v>
      </c>
      <c r="AZ8" s="1177">
        <v>4.4610000000000003</v>
      </c>
      <c r="BA8" s="1150">
        <v>0</v>
      </c>
      <c r="BB8" s="1177">
        <v>0.2</v>
      </c>
      <c r="BC8" s="1177">
        <v>0</v>
      </c>
      <c r="BD8" s="1177">
        <v>0</v>
      </c>
      <c r="BE8" s="1187">
        <v>1.95</v>
      </c>
      <c r="BF8" s="1150">
        <v>0</v>
      </c>
      <c r="BG8" s="1150">
        <v>0</v>
      </c>
      <c r="BH8" s="1141">
        <v>-0.875</v>
      </c>
      <c r="BI8" s="1177">
        <v>0.09</v>
      </c>
      <c r="BJ8" s="1167">
        <v>0.87</v>
      </c>
    </row>
    <row r="9" spans="1:62" x14ac:dyDescent="0.3">
      <c r="A9" s="1155">
        <v>2025</v>
      </c>
      <c r="B9" s="1157">
        <f t="shared" si="1"/>
        <v>0</v>
      </c>
      <c r="C9" s="1157">
        <f t="shared" si="2"/>
        <v>0</v>
      </c>
      <c r="D9" s="1157">
        <f t="shared" si="3"/>
        <v>3.3000000000000002E-2</v>
      </c>
      <c r="E9" s="1157">
        <f t="shared" si="4"/>
        <v>1.63</v>
      </c>
      <c r="F9" s="1157">
        <f t="shared" si="11"/>
        <v>2.3719999999999999</v>
      </c>
      <c r="G9" s="1157">
        <f t="shared" si="5"/>
        <v>-0.90100000000000025</v>
      </c>
      <c r="H9" s="1157">
        <f t="shared" si="6"/>
        <v>1.8800000000000001</v>
      </c>
      <c r="I9" s="1157">
        <f t="shared" si="7"/>
        <v>0</v>
      </c>
      <c r="J9" s="1157">
        <f t="shared" si="8"/>
        <v>23.099</v>
      </c>
      <c r="K9" s="1157">
        <f t="shared" si="9"/>
        <v>4.5789999999999997</v>
      </c>
      <c r="L9" s="1161">
        <v>0</v>
      </c>
      <c r="M9" s="1157">
        <f t="shared" si="0"/>
        <v>-0.74299999999999988</v>
      </c>
      <c r="N9" s="1157">
        <f t="shared" si="10"/>
        <v>0</v>
      </c>
      <c r="O9" s="1185">
        <v>0.7</v>
      </c>
      <c r="P9" s="1178">
        <v>1.06</v>
      </c>
      <c r="Q9" s="1177">
        <v>0</v>
      </c>
      <c r="R9" s="1187">
        <v>0.56999999999999995</v>
      </c>
      <c r="S9" s="1179">
        <v>0</v>
      </c>
      <c r="T9" s="1145">
        <v>3.3000000000000002E-2</v>
      </c>
      <c r="U9" s="1177">
        <v>2</v>
      </c>
      <c r="V9" s="1145">
        <v>0</v>
      </c>
      <c r="W9" s="1150">
        <v>0.21299999999999999</v>
      </c>
      <c r="X9" s="1150">
        <v>2E-3</v>
      </c>
      <c r="Y9" s="1177">
        <v>0</v>
      </c>
      <c r="Z9" s="1177">
        <v>0</v>
      </c>
      <c r="AA9" s="1177">
        <v>0</v>
      </c>
      <c r="AB9" s="1177">
        <v>0</v>
      </c>
      <c r="AC9" s="1179">
        <v>0</v>
      </c>
      <c r="AD9" s="1179">
        <v>0.157</v>
      </c>
      <c r="AE9" s="1187">
        <v>0</v>
      </c>
      <c r="AF9" s="1187">
        <v>0</v>
      </c>
      <c r="AG9" s="1179">
        <v>1.81</v>
      </c>
      <c r="AH9" s="1179">
        <v>7.0000000000000007E-2</v>
      </c>
      <c r="AI9" s="1179">
        <v>0</v>
      </c>
      <c r="AJ9" s="1177">
        <v>0</v>
      </c>
      <c r="AK9" s="1177">
        <v>0</v>
      </c>
      <c r="AL9" s="1177">
        <v>23.099</v>
      </c>
      <c r="AM9" s="1179">
        <v>1.2999999999999999E-2</v>
      </c>
      <c r="AN9" s="1177">
        <v>0.3</v>
      </c>
      <c r="AO9" s="1175">
        <v>0.15</v>
      </c>
      <c r="AP9" s="1177">
        <v>0.112</v>
      </c>
      <c r="AQ9" s="1189">
        <v>0</v>
      </c>
      <c r="AR9" s="1177">
        <v>0.2</v>
      </c>
      <c r="AS9" s="1177">
        <v>7.3999999999999996E-2</v>
      </c>
      <c r="AT9" s="1150">
        <v>3.73</v>
      </c>
      <c r="AU9" s="1179">
        <v>0</v>
      </c>
      <c r="AV9" s="1177">
        <v>5.3999999999999999E-2</v>
      </c>
      <c r="AW9" s="1177">
        <v>0.13100000000000001</v>
      </c>
      <c r="AX9" s="1177">
        <v>0</v>
      </c>
      <c r="AY9" s="1150">
        <v>-2.71</v>
      </c>
      <c r="AZ9" s="1177">
        <v>1.782</v>
      </c>
      <c r="BA9" s="1150">
        <v>0</v>
      </c>
      <c r="BB9" s="1177">
        <v>0</v>
      </c>
      <c r="BC9" s="1177">
        <v>0</v>
      </c>
      <c r="BD9" s="1177">
        <v>0</v>
      </c>
      <c r="BE9" s="1187">
        <v>1.43</v>
      </c>
      <c r="BF9" s="1150">
        <v>0</v>
      </c>
      <c r="BG9" s="1150">
        <v>0</v>
      </c>
      <c r="BH9" s="1141">
        <v>-2.3410000000000002</v>
      </c>
      <c r="BI9" s="1177">
        <v>0.01</v>
      </c>
      <c r="BJ9" s="1167">
        <v>0.33</v>
      </c>
    </row>
    <row r="10" spans="1:62" x14ac:dyDescent="0.3">
      <c r="A10" s="1155">
        <v>2026</v>
      </c>
      <c r="B10" s="1157">
        <f t="shared" si="1"/>
        <v>0</v>
      </c>
      <c r="C10" s="1157">
        <f t="shared" si="2"/>
        <v>0</v>
      </c>
      <c r="D10" s="1157">
        <f t="shared" si="3"/>
        <v>3.2000000000000001E-2</v>
      </c>
      <c r="E10" s="1157">
        <f t="shared" si="4"/>
        <v>1.671</v>
      </c>
      <c r="F10" s="1157">
        <f t="shared" si="11"/>
        <v>0.49</v>
      </c>
      <c r="G10" s="1157">
        <f t="shared" si="5"/>
        <v>-2.1500000000000004</v>
      </c>
      <c r="H10" s="1157">
        <f t="shared" si="6"/>
        <v>1.446</v>
      </c>
      <c r="I10" s="1157">
        <f t="shared" si="7"/>
        <v>0</v>
      </c>
      <c r="J10" s="1157">
        <f t="shared" si="8"/>
        <v>10.766999999999999</v>
      </c>
      <c r="K10" s="1157">
        <f t="shared" si="9"/>
        <v>2.9130000000000003</v>
      </c>
      <c r="L10" s="1161"/>
      <c r="M10" s="1157">
        <f t="shared" si="0"/>
        <v>-21.606000000000002</v>
      </c>
      <c r="N10" s="1157">
        <f t="shared" si="10"/>
        <v>0</v>
      </c>
      <c r="O10" s="1185">
        <v>0.7</v>
      </c>
      <c r="P10" s="1178">
        <v>1.07</v>
      </c>
      <c r="Q10" s="1177">
        <v>0</v>
      </c>
      <c r="R10" s="1187">
        <v>0.60099999999999998</v>
      </c>
      <c r="S10" s="1179">
        <v>0</v>
      </c>
      <c r="T10" s="1141">
        <v>3.2000000000000001E-2</v>
      </c>
      <c r="U10" s="1177">
        <v>0.3</v>
      </c>
      <c r="V10" s="1187">
        <v>0</v>
      </c>
      <c r="W10" s="1150">
        <v>0.188</v>
      </c>
      <c r="X10" s="1150">
        <v>2E-3</v>
      </c>
      <c r="Y10" s="1177">
        <v>0</v>
      </c>
      <c r="Z10" s="1177">
        <v>0</v>
      </c>
      <c r="AA10" s="1177">
        <v>0</v>
      </c>
      <c r="AB10" s="1177">
        <v>0</v>
      </c>
      <c r="AC10" s="1179">
        <v>0</v>
      </c>
      <c r="AD10" s="1179">
        <v>0</v>
      </c>
      <c r="AE10" s="1179">
        <v>0</v>
      </c>
      <c r="AF10" s="1187">
        <v>0</v>
      </c>
      <c r="AG10" s="1179">
        <v>1.3759999999999999</v>
      </c>
      <c r="AH10" s="1179">
        <v>7.0000000000000007E-2</v>
      </c>
      <c r="AI10" s="1179">
        <v>0</v>
      </c>
      <c r="AJ10" s="1146">
        <v>0</v>
      </c>
      <c r="AK10" s="1177">
        <v>0</v>
      </c>
      <c r="AL10" s="1177">
        <v>10.766999999999999</v>
      </c>
      <c r="AM10" s="1179">
        <v>3.0000000000000001E-3</v>
      </c>
      <c r="AN10" s="1177">
        <v>0.2</v>
      </c>
      <c r="AO10" s="1175">
        <v>0.1</v>
      </c>
      <c r="AP10" s="1177">
        <v>0.05</v>
      </c>
      <c r="AQ10" s="1189">
        <v>0</v>
      </c>
      <c r="AR10" s="1177">
        <v>0</v>
      </c>
      <c r="AS10" s="1177">
        <v>0</v>
      </c>
      <c r="AT10" s="1150">
        <v>2.56</v>
      </c>
      <c r="AU10" s="1179">
        <v>0</v>
      </c>
      <c r="AV10" s="1177">
        <v>3.7999999999999999E-2</v>
      </c>
      <c r="AW10" s="1177">
        <v>2.5999999999999999E-2</v>
      </c>
      <c r="AX10" s="1177">
        <v>0</v>
      </c>
      <c r="AY10" s="1150">
        <v>-2.6700000000000004</v>
      </c>
      <c r="AZ10" s="1177">
        <v>0</v>
      </c>
      <c r="BA10" s="1150">
        <v>-19</v>
      </c>
      <c r="BB10" s="1177">
        <v>0</v>
      </c>
      <c r="BC10" s="1177">
        <v>0</v>
      </c>
      <c r="BD10" s="1177">
        <v>0</v>
      </c>
      <c r="BE10" s="1150">
        <v>0.88</v>
      </c>
      <c r="BF10" s="1150">
        <v>0</v>
      </c>
      <c r="BG10" s="1150">
        <v>0</v>
      </c>
      <c r="BH10" s="1179">
        <v>-2.8200000000000003</v>
      </c>
      <c r="BI10" s="1177">
        <v>-0.21</v>
      </c>
      <c r="BJ10" s="1167">
        <v>0.17</v>
      </c>
    </row>
    <row r="11" spans="1:62" x14ac:dyDescent="0.3">
      <c r="A11" s="1155">
        <v>2027</v>
      </c>
      <c r="B11" s="1157">
        <f t="shared" si="1"/>
        <v>0</v>
      </c>
      <c r="C11" s="1157">
        <f t="shared" si="2"/>
        <v>0</v>
      </c>
      <c r="D11" s="1157">
        <f t="shared" si="3"/>
        <v>3.2000000000000001E-2</v>
      </c>
      <c r="E11" s="1157">
        <f t="shared" si="4"/>
        <v>1.7130000000000001</v>
      </c>
      <c r="F11" s="1157">
        <f t="shared" si="11"/>
        <v>0</v>
      </c>
      <c r="G11" s="1157">
        <f t="shared" si="5"/>
        <v>-4.8169999999999993</v>
      </c>
      <c r="H11" s="1157">
        <f t="shared" si="6"/>
        <v>0.65699999999999992</v>
      </c>
      <c r="I11" s="1157">
        <f t="shared" si="7"/>
        <v>0</v>
      </c>
      <c r="J11" s="1157">
        <f t="shared" si="8"/>
        <v>4.0789999999999997</v>
      </c>
      <c r="K11" s="1157">
        <f t="shared" si="9"/>
        <v>2.46</v>
      </c>
      <c r="L11" s="1161"/>
      <c r="M11" s="1157">
        <f t="shared" si="0"/>
        <v>-14.713000000000001</v>
      </c>
      <c r="N11" s="1157">
        <f t="shared" si="10"/>
        <v>0</v>
      </c>
      <c r="O11" s="1185">
        <v>0.3</v>
      </c>
      <c r="P11" s="1178">
        <v>1.08</v>
      </c>
      <c r="Q11" s="1177">
        <v>0</v>
      </c>
      <c r="R11" s="1187">
        <v>0.63300000000000001</v>
      </c>
      <c r="S11" s="1144">
        <v>0</v>
      </c>
      <c r="T11" s="1177">
        <v>3.2000000000000001E-2</v>
      </c>
      <c r="U11" s="1177">
        <v>0</v>
      </c>
      <c r="V11" s="1179">
        <v>0</v>
      </c>
      <c r="W11" s="1150">
        <v>0</v>
      </c>
      <c r="X11" s="1150">
        <v>0</v>
      </c>
      <c r="Y11" s="1177">
        <v>0</v>
      </c>
      <c r="Z11" s="1177">
        <v>0</v>
      </c>
      <c r="AA11" s="1177">
        <v>0</v>
      </c>
      <c r="AB11" s="1177">
        <v>0</v>
      </c>
      <c r="AC11" s="1179">
        <v>0</v>
      </c>
      <c r="AD11" s="1187">
        <v>0</v>
      </c>
      <c r="AE11" s="1179">
        <v>0</v>
      </c>
      <c r="AF11" s="1187">
        <v>0</v>
      </c>
      <c r="AG11" s="1179">
        <v>0.57699999999999996</v>
      </c>
      <c r="AH11" s="1179">
        <v>0.08</v>
      </c>
      <c r="AI11" s="1179">
        <v>0</v>
      </c>
      <c r="AJ11" s="1179">
        <v>0</v>
      </c>
      <c r="AK11" s="1177">
        <v>0</v>
      </c>
      <c r="AL11" s="1177">
        <v>4.0789999999999997</v>
      </c>
      <c r="AM11" s="1177">
        <v>0</v>
      </c>
      <c r="AN11" s="1177">
        <v>0.1</v>
      </c>
      <c r="AO11" s="1175">
        <v>0.1</v>
      </c>
      <c r="AP11" s="1177">
        <v>0.03</v>
      </c>
      <c r="AQ11" s="1189">
        <v>0</v>
      </c>
      <c r="AR11" s="1177">
        <v>0</v>
      </c>
      <c r="AS11" s="1177">
        <v>0</v>
      </c>
      <c r="AT11" s="1175">
        <v>2.23</v>
      </c>
      <c r="AU11" s="1179">
        <v>0</v>
      </c>
      <c r="AV11" s="1177">
        <v>1.7000000000000001E-2</v>
      </c>
      <c r="AW11" s="1177">
        <v>0</v>
      </c>
      <c r="AX11" s="1177">
        <v>0</v>
      </c>
      <c r="AY11" s="1150">
        <v>-2.73</v>
      </c>
      <c r="AZ11" s="1177">
        <v>0</v>
      </c>
      <c r="BA11" s="1150">
        <v>-12</v>
      </c>
      <c r="BB11" s="1177">
        <v>0</v>
      </c>
      <c r="BC11" s="1177">
        <v>0</v>
      </c>
      <c r="BD11" s="1177">
        <v>0</v>
      </c>
      <c r="BE11" s="1150">
        <v>0.28000000000000003</v>
      </c>
      <c r="BF11" s="1150">
        <v>0</v>
      </c>
      <c r="BG11" s="1150">
        <v>0</v>
      </c>
      <c r="BH11" s="1145">
        <v>-5.0069999999999997</v>
      </c>
      <c r="BI11" s="1177">
        <v>-0.09</v>
      </c>
      <c r="BJ11" s="1168">
        <v>0.06</v>
      </c>
    </row>
    <row r="12" spans="1:62" x14ac:dyDescent="0.3">
      <c r="A12" s="1155">
        <v>2028</v>
      </c>
      <c r="B12" s="1157">
        <f t="shared" si="1"/>
        <v>0</v>
      </c>
      <c r="C12" s="1157">
        <f t="shared" si="2"/>
        <v>0</v>
      </c>
      <c r="D12" s="1157">
        <f t="shared" si="3"/>
        <v>3.3000000000000002E-2</v>
      </c>
      <c r="E12" s="1157">
        <f t="shared" si="4"/>
        <v>1.7130000000000001</v>
      </c>
      <c r="F12" s="1157">
        <f t="shared" si="11"/>
        <v>0</v>
      </c>
      <c r="G12" s="1157">
        <f t="shared" si="5"/>
        <v>-5.0590000000000002</v>
      </c>
      <c r="H12" s="1157">
        <f t="shared" si="6"/>
        <v>-1.071</v>
      </c>
      <c r="I12" s="1157">
        <f t="shared" si="7"/>
        <v>0</v>
      </c>
      <c r="J12" s="1157">
        <f t="shared" si="8"/>
        <v>1.635</v>
      </c>
      <c r="K12" s="1157">
        <f t="shared" si="9"/>
        <v>1.81</v>
      </c>
      <c r="L12" s="1161"/>
      <c r="M12" s="1157">
        <f t="shared" si="0"/>
        <v>-2.7690000000000001</v>
      </c>
      <c r="N12" s="1157">
        <f t="shared" si="10"/>
        <v>0</v>
      </c>
      <c r="O12" s="1185">
        <v>0.3</v>
      </c>
      <c r="P12" s="1178">
        <v>1.08</v>
      </c>
      <c r="Q12" s="1177">
        <v>0</v>
      </c>
      <c r="R12" s="1187">
        <v>0.63300000000000001</v>
      </c>
      <c r="S12" s="1144">
        <v>0</v>
      </c>
      <c r="T12" s="1147">
        <v>3.3000000000000002E-2</v>
      </c>
      <c r="U12" s="1177">
        <v>0</v>
      </c>
      <c r="V12" s="1179">
        <v>0</v>
      </c>
      <c r="W12" s="1150">
        <v>0</v>
      </c>
      <c r="X12" s="1150">
        <v>0</v>
      </c>
      <c r="Y12" s="1177">
        <v>0</v>
      </c>
      <c r="Z12" s="1177">
        <v>0</v>
      </c>
      <c r="AA12" s="1177">
        <v>0</v>
      </c>
      <c r="AB12" s="1177">
        <v>0</v>
      </c>
      <c r="AC12" s="1179">
        <v>0</v>
      </c>
      <c r="AD12" s="1179">
        <v>0</v>
      </c>
      <c r="AE12" s="1179">
        <v>0</v>
      </c>
      <c r="AF12" s="1179">
        <v>0</v>
      </c>
      <c r="AG12" s="1179">
        <v>-1.151</v>
      </c>
      <c r="AH12" s="1179">
        <v>0.08</v>
      </c>
      <c r="AI12" s="1179">
        <v>0</v>
      </c>
      <c r="AJ12" s="1179">
        <v>0</v>
      </c>
      <c r="AK12" s="1177">
        <v>0</v>
      </c>
      <c r="AL12" s="1177">
        <v>1.635</v>
      </c>
      <c r="AM12" s="1177">
        <v>0</v>
      </c>
      <c r="AN12" s="1177">
        <v>0.1</v>
      </c>
      <c r="AO12" s="1150">
        <v>0</v>
      </c>
      <c r="AP12" s="1177">
        <v>0</v>
      </c>
      <c r="AQ12" s="1189">
        <v>0</v>
      </c>
      <c r="AR12" s="1177">
        <v>0</v>
      </c>
      <c r="AS12" s="1177">
        <v>0</v>
      </c>
      <c r="AT12" s="1175">
        <v>1.71</v>
      </c>
      <c r="AU12" s="1179">
        <v>0</v>
      </c>
      <c r="AV12" s="1177">
        <v>1E-3</v>
      </c>
      <c r="AW12" s="1177">
        <v>0</v>
      </c>
      <c r="AX12" s="1177">
        <v>0</v>
      </c>
      <c r="AY12" s="1150">
        <v>-2.77</v>
      </c>
      <c r="AZ12" s="1177">
        <v>0</v>
      </c>
      <c r="BA12" s="1150">
        <v>0</v>
      </c>
      <c r="BB12" s="1177">
        <v>0</v>
      </c>
      <c r="BC12" s="1177">
        <v>0</v>
      </c>
      <c r="BD12" s="1177">
        <v>0</v>
      </c>
      <c r="BE12" s="1150">
        <v>0.1</v>
      </c>
      <c r="BF12" s="1150">
        <v>0</v>
      </c>
      <c r="BG12" s="1150">
        <v>0</v>
      </c>
      <c r="BH12" s="1145">
        <v>-5.069</v>
      </c>
      <c r="BI12" s="1177">
        <v>-0.09</v>
      </c>
      <c r="BJ12" s="1168">
        <v>0.03</v>
      </c>
    </row>
    <row r="13" spans="1:62" x14ac:dyDescent="0.3">
      <c r="A13" s="1155">
        <v>2029</v>
      </c>
      <c r="B13" s="1157">
        <f t="shared" si="1"/>
        <v>0</v>
      </c>
      <c r="C13" s="1157">
        <f t="shared" si="2"/>
        <v>0</v>
      </c>
      <c r="D13" s="1157">
        <f t="shared" si="3"/>
        <v>3.3000000000000002E-2</v>
      </c>
      <c r="E13" s="1157">
        <f t="shared" si="4"/>
        <v>1.7130000000000001</v>
      </c>
      <c r="F13" s="1157">
        <f t="shared" si="11"/>
        <v>0</v>
      </c>
      <c r="G13" s="1157">
        <f t="shared" si="5"/>
        <v>-5.218</v>
      </c>
      <c r="H13" s="1157">
        <f t="shared" si="6"/>
        <v>-1.964</v>
      </c>
      <c r="I13" s="1157">
        <f t="shared" si="7"/>
        <v>0</v>
      </c>
      <c r="J13" s="1157">
        <f t="shared" si="8"/>
        <v>-1.7000000000000001E-2</v>
      </c>
      <c r="K13" s="1157">
        <f t="shared" si="9"/>
        <v>1</v>
      </c>
      <c r="L13" s="1161"/>
      <c r="M13" s="1157">
        <f t="shared" si="0"/>
        <v>-2.75</v>
      </c>
      <c r="N13" s="1157">
        <f t="shared" si="10"/>
        <v>0</v>
      </c>
      <c r="O13" s="1185">
        <v>0.3</v>
      </c>
      <c r="P13" s="1178">
        <v>1.08</v>
      </c>
      <c r="Q13" s="1177">
        <v>0</v>
      </c>
      <c r="R13" s="1187">
        <v>0.63300000000000001</v>
      </c>
      <c r="S13" s="1144">
        <v>0</v>
      </c>
      <c r="T13" s="1179">
        <v>3.3000000000000002E-2</v>
      </c>
      <c r="U13" s="1177">
        <v>0</v>
      </c>
      <c r="V13" s="1179">
        <v>0</v>
      </c>
      <c r="W13" s="1150">
        <v>0</v>
      </c>
      <c r="X13" s="1150">
        <v>0</v>
      </c>
      <c r="Y13" s="1177">
        <v>0</v>
      </c>
      <c r="Z13" s="1177">
        <v>0</v>
      </c>
      <c r="AA13" s="1177">
        <v>0</v>
      </c>
      <c r="AB13" s="1177">
        <v>0</v>
      </c>
      <c r="AC13" s="1179">
        <v>0</v>
      </c>
      <c r="AD13" s="1179">
        <v>0</v>
      </c>
      <c r="AE13" s="1179">
        <v>0</v>
      </c>
      <c r="AF13" s="1179">
        <v>0</v>
      </c>
      <c r="AG13" s="1177">
        <v>-2.044</v>
      </c>
      <c r="AH13" s="1179">
        <v>0.08</v>
      </c>
      <c r="AI13" s="1179">
        <v>0</v>
      </c>
      <c r="AJ13" s="1148">
        <v>0</v>
      </c>
      <c r="AK13" s="1177">
        <v>0</v>
      </c>
      <c r="AL13" s="1177">
        <v>-1.7000000000000001E-2</v>
      </c>
      <c r="AM13" s="1177">
        <v>0</v>
      </c>
      <c r="AN13" s="1177">
        <v>0</v>
      </c>
      <c r="AO13" s="1150">
        <v>0</v>
      </c>
      <c r="AP13" s="1177">
        <v>0</v>
      </c>
      <c r="AQ13" s="1189">
        <v>0</v>
      </c>
      <c r="AR13" s="1177">
        <v>0</v>
      </c>
      <c r="AS13" s="1177">
        <v>0</v>
      </c>
      <c r="AT13" s="1175">
        <v>1</v>
      </c>
      <c r="AU13" s="1179">
        <v>0</v>
      </c>
      <c r="AV13" s="1177">
        <v>0</v>
      </c>
      <c r="AW13" s="1177">
        <v>0</v>
      </c>
      <c r="AX13" s="1177">
        <v>0</v>
      </c>
      <c r="AY13" s="1150">
        <v>-2.75</v>
      </c>
      <c r="AZ13" s="1177">
        <v>0</v>
      </c>
      <c r="BA13" s="1150">
        <v>0</v>
      </c>
      <c r="BB13" s="1177">
        <v>0</v>
      </c>
      <c r="BC13" s="1177">
        <v>0</v>
      </c>
      <c r="BD13" s="1177">
        <v>0</v>
      </c>
      <c r="BE13" s="1150">
        <v>0</v>
      </c>
      <c r="BF13" s="1149">
        <v>0</v>
      </c>
      <c r="BG13" s="1150">
        <v>0</v>
      </c>
      <c r="BH13" s="1145">
        <v>-5.1180000000000003</v>
      </c>
      <c r="BI13" s="1177">
        <v>-0.1</v>
      </c>
      <c r="BJ13" s="1168">
        <v>0.01</v>
      </c>
    </row>
    <row r="14" spans="1:62" x14ac:dyDescent="0.3">
      <c r="A14" s="1155">
        <v>2030</v>
      </c>
      <c r="B14" s="1157">
        <f t="shared" si="1"/>
        <v>0</v>
      </c>
      <c r="C14" s="1157">
        <f t="shared" si="2"/>
        <v>0</v>
      </c>
      <c r="D14" s="1157">
        <f t="shared" si="3"/>
        <v>3.3000000000000002E-2</v>
      </c>
      <c r="E14" s="1157">
        <f t="shared" si="4"/>
        <v>1.8130000000000002</v>
      </c>
      <c r="F14" s="1157">
        <f t="shared" si="11"/>
        <v>0</v>
      </c>
      <c r="G14" s="1157">
        <f t="shared" si="5"/>
        <v>-5.9420000000000002</v>
      </c>
      <c r="H14" s="1157">
        <f t="shared" si="6"/>
        <v>-2.0210000000000004</v>
      </c>
      <c r="I14" s="1157">
        <f t="shared" si="7"/>
        <v>0</v>
      </c>
      <c r="J14" s="1157">
        <f t="shared" si="8"/>
        <v>-1.9E-2</v>
      </c>
      <c r="K14" s="1157">
        <f t="shared" si="9"/>
        <v>0.8</v>
      </c>
      <c r="L14" s="1161"/>
      <c r="M14" s="1157">
        <f t="shared" si="0"/>
        <v>-8.1189999999999998</v>
      </c>
      <c r="N14" s="1157">
        <f t="shared" si="10"/>
        <v>0</v>
      </c>
      <c r="O14" s="1185">
        <v>0.3</v>
      </c>
      <c r="P14" s="1178">
        <v>1.1800000000000002</v>
      </c>
      <c r="Q14" s="1177">
        <v>0</v>
      </c>
      <c r="R14" s="1187">
        <v>0.63300000000000001</v>
      </c>
      <c r="S14" s="1144">
        <v>0</v>
      </c>
      <c r="T14" s="1179">
        <v>3.3000000000000002E-2</v>
      </c>
      <c r="U14" s="1177">
        <v>0</v>
      </c>
      <c r="V14" s="1179">
        <v>0</v>
      </c>
      <c r="W14" s="1150">
        <v>0</v>
      </c>
      <c r="X14" s="1150">
        <v>0</v>
      </c>
      <c r="Y14" s="1177">
        <v>0</v>
      </c>
      <c r="Z14" s="1177">
        <v>0</v>
      </c>
      <c r="AA14" s="1177">
        <v>0</v>
      </c>
      <c r="AB14" s="1177">
        <v>0</v>
      </c>
      <c r="AC14" s="1179">
        <v>0</v>
      </c>
      <c r="AD14" s="1187">
        <v>0</v>
      </c>
      <c r="AE14" s="1177">
        <v>0</v>
      </c>
      <c r="AF14" s="1179">
        <v>0</v>
      </c>
      <c r="AG14" s="1179">
        <v>-2.1110000000000002</v>
      </c>
      <c r="AH14" s="1179">
        <v>0.09</v>
      </c>
      <c r="AI14" s="1179">
        <v>0</v>
      </c>
      <c r="AJ14" s="1151">
        <v>0</v>
      </c>
      <c r="AK14" s="1177">
        <v>0</v>
      </c>
      <c r="AL14" s="1177">
        <v>-1.9E-2</v>
      </c>
      <c r="AM14" s="1177">
        <v>0</v>
      </c>
      <c r="AN14" s="1177">
        <v>0</v>
      </c>
      <c r="AO14" s="1150">
        <v>0</v>
      </c>
      <c r="AP14" s="1177">
        <v>0</v>
      </c>
      <c r="AQ14" s="1189">
        <v>0</v>
      </c>
      <c r="AR14" s="1177">
        <v>0</v>
      </c>
      <c r="AS14" s="1177">
        <v>0</v>
      </c>
      <c r="AT14" s="1150">
        <v>0.8</v>
      </c>
      <c r="AU14" s="1179">
        <v>-5.4089999999999998</v>
      </c>
      <c r="AV14" s="1177">
        <v>0</v>
      </c>
      <c r="AW14" s="1177">
        <v>0</v>
      </c>
      <c r="AX14" s="1177">
        <v>0</v>
      </c>
      <c r="AY14" s="1150">
        <v>-2.71</v>
      </c>
      <c r="AZ14" s="1177">
        <v>0</v>
      </c>
      <c r="BA14" s="1150">
        <v>0</v>
      </c>
      <c r="BB14" s="1177">
        <v>0</v>
      </c>
      <c r="BC14" s="1177">
        <v>0</v>
      </c>
      <c r="BD14" s="1177">
        <v>0</v>
      </c>
      <c r="BE14" s="1177">
        <v>0</v>
      </c>
      <c r="BF14" s="1150">
        <v>0</v>
      </c>
      <c r="BG14" s="1150">
        <v>0</v>
      </c>
      <c r="BH14" s="1179">
        <v>-5.8319999999999999</v>
      </c>
      <c r="BI14" s="1177">
        <v>-0.11</v>
      </c>
      <c r="BJ14" s="1167">
        <v>0.01</v>
      </c>
    </row>
    <row r="15" spans="1:62" ht="17.25" customHeight="1" x14ac:dyDescent="0.3">
      <c r="A15" s="1155">
        <v>2031</v>
      </c>
      <c r="B15" s="1157">
        <f t="shared" si="1"/>
        <v>0</v>
      </c>
      <c r="C15" s="1157">
        <f t="shared" si="2"/>
        <v>0</v>
      </c>
      <c r="D15" s="1157">
        <f t="shared" si="3"/>
        <v>0</v>
      </c>
      <c r="E15" s="1157">
        <f t="shared" si="4"/>
        <v>1.8230000000000002</v>
      </c>
      <c r="F15" s="1157">
        <f t="shared" si="11"/>
        <v>0</v>
      </c>
      <c r="G15" s="1157">
        <f t="shared" si="5"/>
        <v>-7.7250000000000005</v>
      </c>
      <c r="H15" s="1157">
        <f t="shared" si="6"/>
        <v>-2.4630000000000001</v>
      </c>
      <c r="I15" s="1157">
        <f t="shared" si="7"/>
        <v>0</v>
      </c>
      <c r="J15" s="1157">
        <f t="shared" si="8"/>
        <v>-1.9E-2</v>
      </c>
      <c r="K15" s="1157">
        <f t="shared" si="9"/>
        <v>0</v>
      </c>
      <c r="L15" s="1161"/>
      <c r="M15" s="1157">
        <f t="shared" si="0"/>
        <v>-3.0390000000000001</v>
      </c>
      <c r="N15" s="1157">
        <f t="shared" si="10"/>
        <v>0</v>
      </c>
      <c r="O15" s="1185">
        <v>0.3</v>
      </c>
      <c r="P15" s="1178">
        <v>1.1900000000000002</v>
      </c>
      <c r="Q15" s="1177">
        <v>0</v>
      </c>
      <c r="R15" s="1187">
        <v>0.63300000000000001</v>
      </c>
      <c r="S15" s="1144">
        <v>0</v>
      </c>
      <c r="T15" s="1150">
        <v>0</v>
      </c>
      <c r="U15" s="1177">
        <v>0</v>
      </c>
      <c r="V15" s="1177">
        <v>0</v>
      </c>
      <c r="W15" s="1150">
        <v>0</v>
      </c>
      <c r="X15" s="1150">
        <v>0</v>
      </c>
      <c r="Y15" s="1177">
        <v>0</v>
      </c>
      <c r="Z15" s="1177">
        <v>0</v>
      </c>
      <c r="AA15" s="1177">
        <v>0</v>
      </c>
      <c r="AB15" s="1177">
        <v>0</v>
      </c>
      <c r="AC15" s="1179">
        <v>0</v>
      </c>
      <c r="AD15" s="1177">
        <v>0</v>
      </c>
      <c r="AE15" s="1179">
        <v>0</v>
      </c>
      <c r="AF15" s="1179">
        <v>0</v>
      </c>
      <c r="AG15" s="1179">
        <v>-2.5529999999999999</v>
      </c>
      <c r="AH15" s="1179">
        <v>0.09</v>
      </c>
      <c r="AI15" s="1179">
        <v>0</v>
      </c>
      <c r="AJ15" s="1152">
        <v>0</v>
      </c>
      <c r="AK15" s="1177">
        <v>0</v>
      </c>
      <c r="AL15" s="1177">
        <v>-1.9E-2</v>
      </c>
      <c r="AM15" s="1177">
        <v>0</v>
      </c>
      <c r="AN15" s="1177">
        <v>0</v>
      </c>
      <c r="AO15" s="1150">
        <v>0</v>
      </c>
      <c r="AP15" s="1177">
        <v>0</v>
      </c>
      <c r="AQ15" s="1189">
        <v>0</v>
      </c>
      <c r="AR15" s="1177">
        <v>0</v>
      </c>
      <c r="AS15" s="1177">
        <v>0</v>
      </c>
      <c r="AT15" s="1150">
        <v>0</v>
      </c>
      <c r="AU15" s="1179">
        <v>-0.26900000000000002</v>
      </c>
      <c r="AV15" s="1177">
        <v>0</v>
      </c>
      <c r="AW15" s="1177">
        <v>0</v>
      </c>
      <c r="AX15" s="1177">
        <v>0</v>
      </c>
      <c r="AY15" s="1150">
        <v>-2.77</v>
      </c>
      <c r="AZ15" s="1177">
        <v>0</v>
      </c>
      <c r="BA15" s="1150">
        <v>0</v>
      </c>
      <c r="BB15" s="1177">
        <v>0</v>
      </c>
      <c r="BC15" s="1177">
        <v>0</v>
      </c>
      <c r="BD15" s="1177">
        <v>0</v>
      </c>
      <c r="BE15" s="1177">
        <v>0</v>
      </c>
      <c r="BF15" s="1150">
        <v>0</v>
      </c>
      <c r="BG15" s="1150">
        <v>0</v>
      </c>
      <c r="BH15" s="1179">
        <v>-5.4350000000000005</v>
      </c>
      <c r="BI15" s="1177">
        <v>-2.29</v>
      </c>
      <c r="BJ15" s="1167">
        <v>0</v>
      </c>
    </row>
    <row r="16" spans="1:62" x14ac:dyDescent="0.3">
      <c r="A16" s="1156" t="s">
        <v>359</v>
      </c>
      <c r="B16" s="1156">
        <f>SUM(B5:B15)</f>
        <v>412.15299999999996</v>
      </c>
      <c r="C16" s="1156">
        <f>SUM(C5:C15)</f>
        <v>205.79999999999998</v>
      </c>
      <c r="D16" s="1156">
        <f>SUM(D5:D15)</f>
        <v>22.711000000000006</v>
      </c>
      <c r="E16" s="1156">
        <f t="shared" ref="E16:H16" si="12">SUM(E5:E15)</f>
        <v>35.466000000000015</v>
      </c>
      <c r="F16" s="1156">
        <f t="shared" si="12"/>
        <v>91.563000000000002</v>
      </c>
      <c r="G16" s="1157">
        <f t="shared" si="5"/>
        <v>174.17</v>
      </c>
      <c r="H16" s="1156">
        <f t="shared" si="12"/>
        <v>21.600999999999996</v>
      </c>
      <c r="I16" s="1161">
        <f t="shared" ref="I16" si="13">SUM(I5:I15)</f>
        <v>362.04999999999995</v>
      </c>
      <c r="J16" s="1161">
        <f t="shared" ref="J16" si="14">SUM(J5:J15)</f>
        <v>169.16899999999998</v>
      </c>
      <c r="K16" s="1157">
        <f t="shared" si="9"/>
        <v>112.72</v>
      </c>
      <c r="L16" s="1161">
        <f>SUM(L5:L15)</f>
        <v>25.75</v>
      </c>
      <c r="M16" s="1157">
        <f t="shared" si="0"/>
        <v>85.197999999999993</v>
      </c>
      <c r="N16" s="1157">
        <f>AK16</f>
        <v>8.5</v>
      </c>
      <c r="O16" s="1186">
        <f t="shared" ref="O16:BI16" si="15">SUM(O5:O15)</f>
        <v>109.3</v>
      </c>
      <c r="P16" s="1177">
        <f t="shared" si="15"/>
        <v>25.819999999999997</v>
      </c>
      <c r="Q16" s="1177">
        <f t="shared" si="15"/>
        <v>412.15299999999996</v>
      </c>
      <c r="R16" s="1177">
        <f t="shared" si="15"/>
        <v>5.774</v>
      </c>
      <c r="S16" s="1177">
        <f t="shared" si="15"/>
        <v>3.8719999999999999</v>
      </c>
      <c r="T16" s="1177">
        <f t="shared" si="15"/>
        <v>22.711000000000006</v>
      </c>
      <c r="U16" s="1177">
        <f t="shared" si="15"/>
        <v>41.599999999999994</v>
      </c>
      <c r="V16" s="1177">
        <f t="shared" si="15"/>
        <v>44.947999999999993</v>
      </c>
      <c r="W16" s="1177">
        <f t="shared" si="15"/>
        <v>5</v>
      </c>
      <c r="X16" s="1177">
        <f t="shared" si="15"/>
        <v>1.4440000000000002</v>
      </c>
      <c r="Y16" s="1177">
        <f t="shared" si="15"/>
        <v>0.2</v>
      </c>
      <c r="Z16" s="1177">
        <f t="shared" si="15"/>
        <v>45.4</v>
      </c>
      <c r="AA16" s="1177">
        <f t="shared" si="15"/>
        <v>35.5</v>
      </c>
      <c r="AB16" s="1177">
        <f t="shared" si="15"/>
        <v>124.7</v>
      </c>
      <c r="AC16" s="1177">
        <f t="shared" si="15"/>
        <v>28</v>
      </c>
      <c r="AD16" s="1177">
        <f t="shared" si="15"/>
        <v>9.100000000000022E-2</v>
      </c>
      <c r="AE16" s="1177">
        <f t="shared" si="15"/>
        <v>22.810000000000002</v>
      </c>
      <c r="AF16" s="1177">
        <f t="shared" si="15"/>
        <v>1.42</v>
      </c>
      <c r="AG16" s="1177">
        <f t="shared" si="15"/>
        <v>20.662999999999997</v>
      </c>
      <c r="AH16" s="1177">
        <f t="shared" si="15"/>
        <v>0.86999999999999988</v>
      </c>
      <c r="AI16" s="1177">
        <f t="shared" si="15"/>
        <v>6.8000000000000005E-2</v>
      </c>
      <c r="AJ16" s="1177">
        <f t="shared" si="15"/>
        <v>362.04999999999995</v>
      </c>
      <c r="AK16" s="1177">
        <f t="shared" ref="AK16:AO16" si="16">SUM(AK5:AK15)</f>
        <v>8.5</v>
      </c>
      <c r="AL16" s="1177">
        <f t="shared" si="16"/>
        <v>169.16899999999998</v>
      </c>
      <c r="AM16" s="1159">
        <f t="shared" si="16"/>
        <v>0.79700000000000004</v>
      </c>
      <c r="AN16" s="1177">
        <f t="shared" si="16"/>
        <v>8.6</v>
      </c>
      <c r="AO16" s="1177">
        <f t="shared" si="16"/>
        <v>3.2000000000000006</v>
      </c>
      <c r="AP16" s="1177">
        <f t="shared" si="15"/>
        <v>2.8000000000000003</v>
      </c>
      <c r="AQ16" s="1162">
        <f>SUM(AQ5:AQ15)</f>
        <v>28</v>
      </c>
      <c r="AR16" s="1177">
        <f>SUM(AR5:AR15)</f>
        <v>14.899999999999999</v>
      </c>
      <c r="AS16" s="1177">
        <f>SUM(AS5:AS15)</f>
        <v>3.8730000000000002</v>
      </c>
      <c r="AT16" s="1177">
        <f t="shared" ref="AT16" si="17">SUM(AT5:AT15)</f>
        <v>50.54999999999999</v>
      </c>
      <c r="AU16" s="1177">
        <f t="shared" si="15"/>
        <v>-5.6779999999999999</v>
      </c>
      <c r="AV16" s="1177">
        <f t="shared" si="15"/>
        <v>8.177999999999999</v>
      </c>
      <c r="AW16" s="1177">
        <f t="shared" si="15"/>
        <v>16.667999999999999</v>
      </c>
      <c r="AX16" s="1177">
        <f t="shared" si="15"/>
        <v>9.9</v>
      </c>
      <c r="AY16" s="1177">
        <f t="shared" si="15"/>
        <v>-25.860000000000003</v>
      </c>
      <c r="AZ16" s="1177">
        <f t="shared" si="15"/>
        <v>81.99</v>
      </c>
      <c r="BA16" s="1177">
        <v>0</v>
      </c>
      <c r="BB16" s="1177">
        <f t="shared" si="15"/>
        <v>24</v>
      </c>
      <c r="BC16" s="1177">
        <f t="shared" si="15"/>
        <v>7.25</v>
      </c>
      <c r="BD16" s="1177">
        <f t="shared" si="15"/>
        <v>49.8</v>
      </c>
      <c r="BE16" s="1177">
        <f t="shared" si="15"/>
        <v>9.02</v>
      </c>
      <c r="BF16" s="1177">
        <f t="shared" si="15"/>
        <v>6.2439999999999998</v>
      </c>
      <c r="BG16" s="1177">
        <f t="shared" si="15"/>
        <v>10.218</v>
      </c>
      <c r="BH16" s="1177">
        <f t="shared" si="15"/>
        <v>50.203999999999979</v>
      </c>
      <c r="BI16" s="1177">
        <f t="shared" si="15"/>
        <v>24.684000000000005</v>
      </c>
      <c r="BJ16" s="1169">
        <f>SUM(BJ5:BJ15)</f>
        <v>9.5399999999999991</v>
      </c>
    </row>
    <row r="17" spans="2:61" x14ac:dyDescent="0.3">
      <c r="R17" s="1187"/>
      <c r="S17" s="1187"/>
      <c r="W17" s="1187"/>
      <c r="X17" s="1187"/>
      <c r="AE17" s="1187"/>
      <c r="AF17" s="1187"/>
      <c r="AV17" s="1187"/>
      <c r="AW17" s="1187"/>
      <c r="AX17" s="1187"/>
      <c r="AY17" s="1187"/>
      <c r="AZ17" s="1187"/>
      <c r="BA17" s="1187"/>
      <c r="BC17" s="1187"/>
      <c r="BE17" s="1187"/>
      <c r="BF17" s="1187"/>
      <c r="BG17" s="1187"/>
    </row>
    <row r="18" spans="2:61" x14ac:dyDescent="0.3">
      <c r="R18" s="1187"/>
      <c r="S18" s="1187"/>
      <c r="W18" s="1187"/>
      <c r="X18" s="1187"/>
      <c r="AE18" s="1187"/>
      <c r="AF18" s="1187"/>
      <c r="AV18" s="1187"/>
      <c r="AW18" s="1187"/>
      <c r="AX18" s="1187"/>
      <c r="AY18" s="1187"/>
      <c r="AZ18" s="1187"/>
      <c r="BA18" s="1187"/>
      <c r="BC18" s="1187" t="s">
        <v>777</v>
      </c>
      <c r="BD18" s="1187" t="s">
        <v>777</v>
      </c>
      <c r="BE18" s="1187"/>
      <c r="BF18" s="1187" t="s">
        <v>777</v>
      </c>
      <c r="BG18" s="1187" t="s">
        <v>777</v>
      </c>
      <c r="BI18" s="1187" t="s">
        <v>777</v>
      </c>
    </row>
    <row r="19" spans="2:61" x14ac:dyDescent="0.3">
      <c r="B19" s="979"/>
      <c r="C19" s="979"/>
      <c r="D19" s="979"/>
      <c r="E19" s="979"/>
      <c r="F19" s="979"/>
      <c r="H19" s="979"/>
      <c r="I19" s="979"/>
      <c r="J19" s="979"/>
      <c r="K19" s="979"/>
      <c r="M19" s="979"/>
      <c r="N19" s="979"/>
      <c r="R19" s="1187"/>
      <c r="S19" s="1187"/>
      <c r="W19" s="1187"/>
      <c r="X19" s="1187"/>
      <c r="AE19" s="1187"/>
      <c r="AF19" s="1187"/>
      <c r="AV19" s="1187"/>
      <c r="AW19" s="1187"/>
      <c r="AX19" s="1187"/>
      <c r="AY19" s="1187"/>
      <c r="AZ19" s="1187"/>
      <c r="BA19" s="1187"/>
      <c r="BC19" s="1187"/>
      <c r="BD19" t="s">
        <v>778</v>
      </c>
      <c r="BE19" s="1187"/>
      <c r="BF19" s="1187"/>
      <c r="BG19" s="1187"/>
    </row>
    <row r="20" spans="2:61" x14ac:dyDescent="0.3">
      <c r="R20" s="1187"/>
      <c r="S20" s="1187"/>
      <c r="W20" s="1187"/>
      <c r="X20" s="1187"/>
      <c r="AE20" s="1187"/>
      <c r="AF20" s="1187"/>
      <c r="AV20" s="1187"/>
      <c r="AW20" s="1187"/>
      <c r="AX20" s="1187"/>
      <c r="AY20" s="1187"/>
      <c r="AZ20" s="1187"/>
      <c r="BA20" s="1187"/>
      <c r="BC20" s="1187"/>
      <c r="BE20" s="1187"/>
      <c r="BF20" s="1187"/>
      <c r="BG20" s="1187"/>
    </row>
    <row r="21" spans="2:61" x14ac:dyDescent="0.3">
      <c r="R21" s="1187"/>
      <c r="S21" s="1187"/>
      <c r="W21" s="1187"/>
      <c r="X21" s="1187"/>
      <c r="AE21" s="1187"/>
      <c r="AF21" s="1187"/>
      <c r="AV21" s="1187"/>
      <c r="AW21" s="1187"/>
      <c r="AX21" s="1187"/>
      <c r="AY21" s="1187"/>
      <c r="AZ21" s="1187"/>
      <c r="BA21" s="1187"/>
      <c r="BC21" s="1187"/>
      <c r="BE21" s="1187"/>
      <c r="BF21" s="1187"/>
      <c r="BG21" s="1187"/>
    </row>
    <row r="22" spans="2:61" x14ac:dyDescent="0.3">
      <c r="B22" s="979"/>
      <c r="R22" s="1187"/>
      <c r="S22" s="1187"/>
      <c r="W22" s="1187"/>
      <c r="X22" s="1187"/>
      <c r="AE22" s="1187"/>
      <c r="AF22" s="1187"/>
      <c r="AV22" s="1187"/>
      <c r="AW22" s="1187"/>
      <c r="AX22" s="1187"/>
      <c r="AY22" s="1187"/>
      <c r="AZ22" s="1187"/>
      <c r="BA22" s="1187"/>
      <c r="BC22" s="1187"/>
      <c r="BE22" s="1187"/>
      <c r="BF22" s="1187"/>
      <c r="BG22" s="1187"/>
    </row>
    <row r="23" spans="2:61" x14ac:dyDescent="0.3">
      <c r="B23" s="979"/>
      <c r="R23" s="1187"/>
      <c r="S23" s="1187"/>
      <c r="W23" s="1187"/>
      <c r="X23" s="1187"/>
      <c r="AE23" s="1187"/>
      <c r="AF23" s="1187"/>
      <c r="AV23" s="1187"/>
      <c r="AW23" s="1187"/>
      <c r="AX23" s="1187"/>
      <c r="AY23" s="1187"/>
      <c r="AZ23" s="1187"/>
      <c r="BA23" s="1187"/>
      <c r="BC23" s="1187"/>
      <c r="BE23" s="1187"/>
      <c r="BF23" s="1187"/>
      <c r="BG23" s="1187"/>
    </row>
    <row r="24" spans="2:61" x14ac:dyDescent="0.3">
      <c r="B24" s="979"/>
      <c r="R24" s="1187"/>
      <c r="S24" s="1187"/>
      <c r="W24" s="1187"/>
      <c r="X24" s="1187"/>
      <c r="AE24" s="1187"/>
      <c r="AF24" s="1187"/>
      <c r="AV24" s="1187"/>
      <c r="AW24" s="1187"/>
      <c r="AX24" s="1187"/>
      <c r="AY24" s="1187"/>
      <c r="AZ24" s="1187"/>
      <c r="BA24" s="1187"/>
      <c r="BC24" s="1187"/>
      <c r="BE24" s="1187"/>
      <c r="BF24" s="1187"/>
      <c r="BG24" s="1187"/>
    </row>
    <row r="25" spans="2:61" x14ac:dyDescent="0.3">
      <c r="B25" s="979"/>
      <c r="R25" s="1187"/>
      <c r="S25" s="1187"/>
      <c r="W25" s="1187"/>
      <c r="X25" s="1187"/>
      <c r="AE25" s="1187"/>
      <c r="AF25" s="1187"/>
      <c r="AV25" s="1187"/>
      <c r="AW25" s="1187"/>
      <c r="AX25" s="1187"/>
      <c r="AY25" s="1187"/>
      <c r="AZ25" s="1187"/>
      <c r="BA25" s="1187"/>
      <c r="BC25" s="1187"/>
      <c r="BE25" s="1187"/>
      <c r="BF25" s="1187"/>
      <c r="BG25" s="1187"/>
    </row>
    <row r="26" spans="2:61" x14ac:dyDescent="0.3">
      <c r="B26" s="979"/>
      <c r="R26" s="1187"/>
      <c r="S26" s="1187"/>
      <c r="W26" s="1187"/>
      <c r="X26" s="1187"/>
      <c r="AE26" s="1187"/>
      <c r="AF26" s="1187"/>
      <c r="AV26" s="1187"/>
      <c r="AW26" s="1187"/>
      <c r="AX26" s="1187"/>
      <c r="AY26" s="1187"/>
      <c r="AZ26" s="1187"/>
      <c r="BA26" s="1187"/>
      <c r="BC26" s="1187"/>
      <c r="BE26" s="1187"/>
      <c r="BF26" s="1187"/>
      <c r="BG26" s="1187"/>
    </row>
    <row r="27" spans="2:61" x14ac:dyDescent="0.3">
      <c r="B27" s="979"/>
      <c r="R27" s="1187"/>
      <c r="S27" s="1187"/>
      <c r="W27" s="1187"/>
      <c r="X27" s="1187"/>
      <c r="AE27" s="1187"/>
      <c r="AF27" s="1187"/>
      <c r="AV27" s="1187"/>
      <c r="AW27" s="1187"/>
      <c r="AX27" s="1187"/>
      <c r="AY27" s="1187"/>
      <c r="AZ27" s="1187"/>
      <c r="BA27" s="1187"/>
      <c r="BC27" s="1187"/>
      <c r="BE27" s="1187"/>
      <c r="BF27" s="1187"/>
      <c r="BG27" s="1187"/>
    </row>
    <row r="28" spans="2:61" x14ac:dyDescent="0.3">
      <c r="B28" s="979"/>
      <c r="R28" s="1187"/>
      <c r="S28" s="1187"/>
      <c r="W28" s="1187"/>
      <c r="X28" s="1187"/>
      <c r="AE28" s="1187"/>
      <c r="AF28" s="1187"/>
      <c r="AV28" s="1187"/>
      <c r="AW28" s="1187"/>
      <c r="AX28" s="1187"/>
      <c r="AY28" s="1187"/>
      <c r="AZ28" s="1187"/>
      <c r="BA28" s="1187"/>
      <c r="BC28" s="1187"/>
      <c r="BE28" s="1187"/>
      <c r="BF28" s="1187"/>
      <c r="BG28" s="1187"/>
    </row>
    <row r="29" spans="2:61" x14ac:dyDescent="0.3">
      <c r="R29" s="1187"/>
      <c r="S29" s="1187"/>
      <c r="W29" s="1187"/>
      <c r="X29" s="1187"/>
      <c r="AE29" s="1187"/>
      <c r="AF29" s="1187"/>
      <c r="AV29" s="1187"/>
      <c r="AW29" s="1187"/>
      <c r="AX29" s="1187"/>
      <c r="AY29" s="1187"/>
      <c r="AZ29" s="1187"/>
      <c r="BA29" s="1187"/>
      <c r="BC29" s="1187"/>
      <c r="BE29" s="1187"/>
      <c r="BF29" s="1187"/>
      <c r="BG29" s="1187"/>
    </row>
    <row r="30" spans="2:61" x14ac:dyDescent="0.3">
      <c r="R30" s="1187"/>
      <c r="S30" s="1187"/>
      <c r="W30" s="1187"/>
      <c r="X30" s="1187"/>
      <c r="AE30" s="1187"/>
      <c r="AF30" s="1187"/>
      <c r="AV30" s="1187"/>
      <c r="AW30" s="1187"/>
      <c r="AX30" s="1187"/>
      <c r="AY30" s="1187"/>
      <c r="AZ30" s="1187"/>
      <c r="BA30" s="1187"/>
      <c r="BC30" s="1187"/>
      <c r="BE30" s="1187"/>
      <c r="BF30" s="1187"/>
      <c r="BG30" s="1187"/>
    </row>
    <row r="31" spans="2:61" x14ac:dyDescent="0.3">
      <c r="R31" s="1187"/>
      <c r="S31" s="1187"/>
      <c r="W31" s="1187"/>
      <c r="X31" s="1187"/>
      <c r="AE31" s="1187"/>
      <c r="AF31" s="1187"/>
      <c r="AV31" s="1187"/>
      <c r="AW31" s="1187"/>
      <c r="AX31" s="1187"/>
      <c r="AY31" s="1187"/>
      <c r="AZ31" s="1187"/>
      <c r="BA31" s="1187"/>
      <c r="BC31" s="1187"/>
      <c r="BE31" s="1187"/>
      <c r="BF31" s="1187"/>
      <c r="BG31" s="1187"/>
    </row>
    <row r="32" spans="2:61" x14ac:dyDescent="0.3">
      <c r="R32" s="1187"/>
      <c r="S32" s="1187"/>
      <c r="W32" s="1187"/>
      <c r="X32" s="1187"/>
      <c r="AE32" s="1187"/>
      <c r="AF32" s="1187"/>
      <c r="AV32" s="1187"/>
      <c r="AW32" s="1187"/>
      <c r="AX32" s="1187"/>
      <c r="AY32" s="1187"/>
      <c r="AZ32" s="1187"/>
      <c r="BA32" s="1187"/>
      <c r="BC32" s="1187"/>
      <c r="BE32" s="1187"/>
      <c r="BF32" s="1187"/>
      <c r="BG32" s="1187"/>
    </row>
    <row r="33" spans="18:59" x14ac:dyDescent="0.3">
      <c r="R33" s="1187"/>
      <c r="S33" s="1187"/>
      <c r="W33" s="1187"/>
      <c r="X33" s="1187"/>
      <c r="AE33" s="1187"/>
      <c r="AF33" s="1187"/>
      <c r="AV33" s="1187"/>
      <c r="AW33" s="1187"/>
      <c r="AX33" s="1187"/>
      <c r="AY33" s="1187"/>
      <c r="AZ33" s="1187"/>
      <c r="BA33" s="1187"/>
      <c r="BC33" s="1187"/>
      <c r="BE33" s="1187"/>
      <c r="BF33" s="1187"/>
      <c r="BG33" s="1187"/>
    </row>
    <row r="34" spans="18:59" x14ac:dyDescent="0.3">
      <c r="R34" s="1187"/>
      <c r="S34" s="1187"/>
      <c r="W34" s="1187"/>
      <c r="X34" s="1187"/>
      <c r="AE34" s="1187"/>
      <c r="AF34" s="1187"/>
      <c r="AV34" s="1187"/>
      <c r="AW34" s="1187"/>
      <c r="AX34" s="1187"/>
      <c r="AY34" s="1187"/>
      <c r="AZ34" s="1187"/>
      <c r="BA34" s="1187"/>
      <c r="BC34" s="1187"/>
      <c r="BE34" s="1187"/>
      <c r="BF34" s="1187"/>
      <c r="BG34" s="1187"/>
    </row>
    <row r="35" spans="18:59" x14ac:dyDescent="0.3">
      <c r="R35" s="1187"/>
      <c r="S35" s="1187"/>
      <c r="W35" s="1187"/>
      <c r="X35" s="1187"/>
      <c r="AE35" s="1187"/>
      <c r="AF35" s="1187"/>
      <c r="AV35" s="1187"/>
      <c r="AW35" s="1187"/>
      <c r="AX35" s="1187"/>
      <c r="AY35" s="1187"/>
      <c r="AZ35" s="1187"/>
      <c r="BA35" s="1187"/>
      <c r="BC35" s="1187"/>
      <c r="BE35" s="1187"/>
      <c r="BF35" s="1187"/>
      <c r="BG35" s="1187"/>
    </row>
    <row r="36" spans="18:59" x14ac:dyDescent="0.3">
      <c r="R36" s="1187"/>
      <c r="S36" s="1187"/>
      <c r="W36" s="1187"/>
      <c r="X36" s="1187"/>
      <c r="AE36" s="1187"/>
      <c r="AF36" s="1187"/>
      <c r="AV36" s="1187"/>
      <c r="AW36" s="1187"/>
      <c r="AX36" s="1187"/>
      <c r="AY36" s="1187"/>
      <c r="AZ36" s="1187"/>
      <c r="BA36" s="1187"/>
      <c r="BC36" s="1187"/>
      <c r="BE36" s="1187"/>
      <c r="BF36" s="1187"/>
      <c r="BG36" s="1187"/>
    </row>
    <row r="37" spans="18:59" x14ac:dyDescent="0.3">
      <c r="R37" s="1187"/>
      <c r="S37" s="1187"/>
      <c r="W37" s="1187"/>
      <c r="X37" s="1187"/>
      <c r="AE37" s="1187"/>
      <c r="AF37" s="1187"/>
      <c r="AV37" s="1187"/>
      <c r="AW37" s="1187"/>
      <c r="AX37" s="1187"/>
      <c r="AY37" s="1187"/>
      <c r="AZ37" s="1187"/>
      <c r="BA37" s="1187"/>
      <c r="BC37" s="1187"/>
      <c r="BE37" s="1187"/>
      <c r="BF37" s="1187"/>
      <c r="BG37" s="1187"/>
    </row>
    <row r="38" spans="18:59" x14ac:dyDescent="0.3">
      <c r="R38" s="1187"/>
      <c r="S38" s="1187"/>
      <c r="W38" s="1187"/>
      <c r="X38" s="1187"/>
      <c r="AE38" s="1187"/>
      <c r="AF38" s="1187"/>
      <c r="AV38" s="1187"/>
      <c r="AW38" s="1187"/>
      <c r="AX38" s="1187"/>
      <c r="AY38" s="1187"/>
      <c r="AZ38" s="1187"/>
      <c r="BA38" s="1187"/>
      <c r="BC38" s="1187"/>
      <c r="BE38" s="1187"/>
      <c r="BF38" s="1187"/>
      <c r="BG38" s="1187"/>
    </row>
    <row r="39" spans="18:59" x14ac:dyDescent="0.3">
      <c r="R39" s="1187"/>
      <c r="S39" s="1187"/>
      <c r="W39" s="1187"/>
      <c r="X39" s="1187"/>
      <c r="AE39" s="1187"/>
      <c r="AF39" s="1187"/>
      <c r="AV39" s="1187"/>
      <c r="AW39" s="1187"/>
      <c r="AX39" s="1187"/>
      <c r="AY39" s="1187"/>
      <c r="AZ39" s="1187"/>
      <c r="BA39" s="1187"/>
      <c r="BC39" s="1187"/>
      <c r="BE39" s="1187"/>
      <c r="BF39" s="1187"/>
      <c r="BG39" s="1187"/>
    </row>
    <row r="40" spans="18:59" x14ac:dyDescent="0.3">
      <c r="R40" s="1187"/>
      <c r="S40" s="1187"/>
      <c r="W40" s="1187"/>
      <c r="X40" s="1187"/>
      <c r="AE40" s="1187"/>
      <c r="AF40" s="1187"/>
      <c r="AV40" s="1187"/>
      <c r="AW40" s="1187"/>
      <c r="AX40" s="1187"/>
      <c r="AY40" s="1187"/>
      <c r="AZ40" s="1187"/>
      <c r="BA40" s="1187"/>
      <c r="BC40" s="1187"/>
      <c r="BE40" s="1187"/>
      <c r="BF40" s="1187"/>
      <c r="BG40" s="1187"/>
    </row>
    <row r="41" spans="18:59" x14ac:dyDescent="0.3">
      <c r="R41" s="1187"/>
      <c r="S41" s="1187"/>
      <c r="W41" s="1187"/>
      <c r="X41" s="1187"/>
      <c r="AE41" s="1187"/>
      <c r="AF41" s="1187"/>
      <c r="AV41" s="1187"/>
      <c r="AW41" s="1187"/>
      <c r="AX41" s="1187"/>
      <c r="AY41" s="1187"/>
      <c r="AZ41" s="1187"/>
      <c r="BA41" s="1187"/>
      <c r="BC41" s="1187"/>
      <c r="BE41" s="1187"/>
      <c r="BF41" s="1187"/>
      <c r="BG41" s="1187"/>
    </row>
    <row r="42" spans="18:59" x14ac:dyDescent="0.3">
      <c r="R42" s="1187"/>
      <c r="S42" s="1187"/>
      <c r="W42" s="1187"/>
      <c r="X42" s="1187"/>
      <c r="AE42" s="1187"/>
      <c r="AF42" s="1187"/>
      <c r="AV42" s="1187"/>
      <c r="AW42" s="1187"/>
      <c r="AX42" s="1187"/>
      <c r="AY42" s="1187"/>
      <c r="AZ42" s="1187"/>
      <c r="BA42" s="1187"/>
      <c r="BC42" s="1187"/>
      <c r="BE42" s="1187"/>
      <c r="BF42" s="1187"/>
      <c r="BG42" s="1187"/>
    </row>
    <row r="43" spans="18:59" x14ac:dyDescent="0.3">
      <c r="R43" s="1187"/>
      <c r="S43" s="1187"/>
      <c r="W43" s="1187"/>
      <c r="X43" s="1187"/>
      <c r="AE43" s="1187"/>
      <c r="AF43" s="1187"/>
      <c r="AV43" s="1187"/>
      <c r="AW43" s="1187"/>
      <c r="AX43" s="1187"/>
      <c r="AY43" s="1187"/>
      <c r="AZ43" s="1187"/>
      <c r="BA43" s="1187"/>
      <c r="BC43" s="1187"/>
      <c r="BE43" s="1187"/>
      <c r="BF43" s="1187"/>
      <c r="BG43" s="1187"/>
    </row>
    <row r="44" spans="18:59" x14ac:dyDescent="0.3">
      <c r="R44" s="1187"/>
      <c r="S44" s="1187"/>
      <c r="W44" s="1187"/>
      <c r="X44" s="1187"/>
      <c r="AE44" s="1187"/>
      <c r="AF44" s="1187"/>
      <c r="AV44" s="1187"/>
      <c r="AW44" s="1187"/>
      <c r="AX44" s="1187"/>
      <c r="AY44" s="1187"/>
      <c r="AZ44" s="1187"/>
      <c r="BA44" s="1187"/>
      <c r="BC44" s="1187"/>
      <c r="BE44" s="1187"/>
      <c r="BF44" s="1187"/>
      <c r="BG44" s="1187"/>
    </row>
    <row r="45" spans="18:59" x14ac:dyDescent="0.3">
      <c r="R45" s="1187"/>
      <c r="S45" s="1187"/>
      <c r="W45" s="1187"/>
      <c r="X45" s="1187"/>
      <c r="AE45" s="1187"/>
      <c r="AF45" s="1187"/>
      <c r="AV45" s="1187"/>
      <c r="AW45" s="1187"/>
      <c r="AX45" s="1187"/>
      <c r="AY45" s="1187"/>
      <c r="AZ45" s="1187"/>
      <c r="BA45" s="1187"/>
      <c r="BC45" s="1187"/>
      <c r="BE45" s="1187"/>
      <c r="BF45" s="1187"/>
      <c r="BG45" s="1187"/>
    </row>
    <row r="46" spans="18:59" x14ac:dyDescent="0.3">
      <c r="R46" s="1187"/>
      <c r="S46" s="1187"/>
      <c r="W46" s="1187"/>
      <c r="X46" s="1187"/>
      <c r="AE46" s="1187"/>
      <c r="AF46" s="1187"/>
      <c r="AV46" s="1187"/>
      <c r="AW46" s="1187"/>
      <c r="AX46" s="1187"/>
      <c r="AY46" s="1187"/>
      <c r="AZ46" s="1187"/>
      <c r="BA46" s="1187"/>
      <c r="BC46" s="1187"/>
      <c r="BE46" s="1187"/>
      <c r="BF46" s="1187"/>
      <c r="BG46" s="1187"/>
    </row>
    <row r="47" spans="18:59" x14ac:dyDescent="0.3">
      <c r="R47" s="1187"/>
      <c r="S47" s="1187"/>
      <c r="W47" s="1187"/>
      <c r="X47" s="1187"/>
      <c r="AE47" s="1187"/>
      <c r="AF47" s="1187"/>
      <c r="AV47" s="1187"/>
      <c r="AW47" s="1187"/>
      <c r="AX47" s="1187"/>
      <c r="AY47" s="1187"/>
      <c r="AZ47" s="1187"/>
      <c r="BA47" s="1187"/>
      <c r="BC47" s="1187"/>
      <c r="BE47" s="1187"/>
      <c r="BF47" s="1187"/>
      <c r="BG47" s="1187"/>
    </row>
    <row r="48" spans="18:59" x14ac:dyDescent="0.3">
      <c r="R48" s="1187"/>
      <c r="S48" s="1187"/>
      <c r="W48" s="1187"/>
      <c r="X48" s="1187"/>
      <c r="AE48" s="1187"/>
      <c r="AF48" s="1187"/>
      <c r="AV48" s="1187"/>
      <c r="AW48" s="1187"/>
      <c r="AX48" s="1187"/>
      <c r="AY48" s="1187"/>
      <c r="AZ48" s="1187"/>
      <c r="BA48" s="1187"/>
      <c r="BC48" s="1187"/>
      <c r="BE48" s="1187"/>
      <c r="BF48" s="1187"/>
      <c r="BG48" s="1187"/>
    </row>
    <row r="49" spans="18:59" x14ac:dyDescent="0.3">
      <c r="R49" s="1187"/>
      <c r="S49" s="1187"/>
      <c r="W49" s="1187"/>
      <c r="X49" s="1187"/>
      <c r="AE49" s="1187"/>
      <c r="AF49" s="1187"/>
      <c r="AV49" s="1187"/>
      <c r="AW49" s="1187"/>
      <c r="AX49" s="1187"/>
      <c r="AY49" s="1187"/>
      <c r="AZ49" s="1187"/>
      <c r="BA49" s="1187"/>
      <c r="BC49" s="1187"/>
      <c r="BE49" s="1187"/>
      <c r="BF49" s="1187"/>
      <c r="BG49" s="1187"/>
    </row>
    <row r="50" spans="18:59" x14ac:dyDescent="0.3">
      <c r="R50" s="1187"/>
      <c r="S50" s="1187"/>
      <c r="W50" s="1187"/>
      <c r="X50" s="1187"/>
      <c r="AE50" s="1187"/>
      <c r="AF50" s="1187"/>
      <c r="AV50" s="1187"/>
      <c r="AW50" s="1187"/>
      <c r="AX50" s="1187"/>
      <c r="AY50" s="1187"/>
      <c r="AZ50" s="1187"/>
      <c r="BA50" s="1187"/>
      <c r="BC50" s="1187"/>
      <c r="BE50" s="1187"/>
      <c r="BF50" s="1187"/>
      <c r="BG50" s="1187"/>
    </row>
    <row r="51" spans="18:59" x14ac:dyDescent="0.3">
      <c r="R51" s="1187"/>
      <c r="S51" s="1187"/>
      <c r="W51" s="1187"/>
      <c r="X51" s="1187"/>
      <c r="AE51" s="1187"/>
      <c r="AF51" s="1187"/>
      <c r="AV51" s="1187"/>
      <c r="AW51" s="1187"/>
      <c r="AX51" s="1187"/>
      <c r="AY51" s="1187"/>
      <c r="AZ51" s="1187"/>
      <c r="BA51" s="1187"/>
      <c r="BC51" s="1187"/>
      <c r="BE51" s="1187"/>
      <c r="BF51" s="1187"/>
      <c r="BG51" s="1187"/>
    </row>
    <row r="52" spans="18:59" x14ac:dyDescent="0.3">
      <c r="R52" s="1187"/>
      <c r="S52" s="1187"/>
      <c r="W52" s="1187"/>
      <c r="X52" s="1187"/>
      <c r="AE52" s="1187"/>
      <c r="AF52" s="1187"/>
      <c r="AV52" s="1187"/>
      <c r="AW52" s="1187"/>
      <c r="AX52" s="1187"/>
      <c r="AY52" s="1187"/>
      <c r="AZ52" s="1187"/>
      <c r="BA52" s="1187"/>
      <c r="BC52" s="1187"/>
      <c r="BE52" s="1187"/>
      <c r="BF52" s="1187"/>
      <c r="BG52" s="1187"/>
    </row>
    <row r="53" spans="18:59" x14ac:dyDescent="0.3">
      <c r="R53" s="1187"/>
      <c r="S53" s="1187"/>
      <c r="W53" s="1187"/>
      <c r="X53" s="1187"/>
      <c r="AE53" s="1187"/>
      <c r="AF53" s="1187"/>
      <c r="AV53" s="1187"/>
      <c r="AW53" s="1187"/>
      <c r="AX53" s="1187"/>
      <c r="AY53" s="1187"/>
      <c r="AZ53" s="1187"/>
      <c r="BA53" s="1187"/>
      <c r="BC53" s="1187"/>
      <c r="BE53" s="1187"/>
      <c r="BF53" s="1187"/>
      <c r="BG53" s="1187"/>
    </row>
    <row r="54" spans="18:59" x14ac:dyDescent="0.3">
      <c r="R54" s="1187"/>
      <c r="S54" s="1187"/>
      <c r="W54" s="1187"/>
      <c r="X54" s="1187"/>
      <c r="AE54" s="1187"/>
      <c r="AF54" s="1187"/>
      <c r="AV54" s="1187"/>
      <c r="AW54" s="1187"/>
      <c r="AX54" s="1187"/>
      <c r="AY54" s="1187"/>
      <c r="AZ54" s="1187"/>
      <c r="BA54" s="1187"/>
      <c r="BC54" s="1187"/>
      <c r="BE54" s="1187"/>
      <c r="BF54" s="1187"/>
      <c r="BG54" s="1187"/>
    </row>
    <row r="55" spans="18:59" x14ac:dyDescent="0.3">
      <c r="R55" s="1187"/>
      <c r="S55" s="1187"/>
      <c r="W55" s="1187"/>
      <c r="X55" s="1187"/>
      <c r="AE55" s="1187"/>
      <c r="AF55" s="1187"/>
      <c r="AV55" s="1187"/>
      <c r="AW55" s="1187"/>
      <c r="AX55" s="1187"/>
      <c r="AY55" s="1187"/>
      <c r="AZ55" s="1187"/>
      <c r="BA55" s="1187"/>
      <c r="BC55" s="1187"/>
      <c r="BE55" s="1187"/>
      <c r="BF55" s="1187"/>
      <c r="BG55" s="1187"/>
    </row>
    <row r="56" spans="18:59" x14ac:dyDescent="0.3">
      <c r="R56" s="1187"/>
      <c r="S56" s="1187"/>
      <c r="W56" s="1187"/>
      <c r="X56" s="1187"/>
      <c r="AE56" s="1187"/>
      <c r="AF56" s="1187"/>
      <c r="AV56" s="1187"/>
      <c r="AW56" s="1187"/>
      <c r="AX56" s="1187"/>
      <c r="AY56" s="1187"/>
      <c r="AZ56" s="1187"/>
      <c r="BA56" s="1187"/>
      <c r="BC56" s="1187"/>
      <c r="BE56" s="1187"/>
      <c r="BF56" s="1187"/>
      <c r="BG56" s="1187"/>
    </row>
    <row r="57" spans="18:59" x14ac:dyDescent="0.3">
      <c r="R57" s="1187"/>
      <c r="S57" s="1187"/>
      <c r="W57" s="1187"/>
      <c r="X57" s="1187"/>
      <c r="AE57" s="1187"/>
      <c r="AF57" s="1187"/>
      <c r="AV57" s="1187"/>
      <c r="AW57" s="1187"/>
      <c r="AX57" s="1187"/>
      <c r="AY57" s="1187"/>
      <c r="AZ57" s="1187"/>
      <c r="BA57" s="1187"/>
      <c r="BC57" s="1187"/>
      <c r="BE57" s="1187"/>
      <c r="BF57" s="1187"/>
      <c r="BG57" s="1187"/>
    </row>
    <row r="58" spans="18:59" x14ac:dyDescent="0.3">
      <c r="R58" s="1187"/>
      <c r="S58" s="1187"/>
      <c r="W58" s="1187"/>
      <c r="X58" s="1187"/>
      <c r="AE58" s="1187"/>
      <c r="AF58" s="1187"/>
      <c r="AV58" s="1187"/>
      <c r="AW58" s="1187"/>
      <c r="AX58" s="1187"/>
      <c r="AY58" s="1187"/>
      <c r="AZ58" s="1187"/>
      <c r="BA58" s="1187"/>
      <c r="BC58" s="1187"/>
      <c r="BE58" s="1187"/>
      <c r="BF58" s="1187"/>
      <c r="BG58" s="1187"/>
    </row>
    <row r="59" spans="18:59" x14ac:dyDescent="0.3">
      <c r="R59" s="1187"/>
      <c r="S59" s="1187"/>
      <c r="W59" s="1187"/>
      <c r="X59" s="1187"/>
      <c r="AE59" s="1187"/>
      <c r="AF59" s="1187"/>
      <c r="AV59" s="1187"/>
      <c r="AW59" s="1187"/>
      <c r="AX59" s="1187"/>
      <c r="AY59" s="1187"/>
      <c r="AZ59" s="1187"/>
      <c r="BA59" s="1187"/>
      <c r="BC59" s="1187"/>
      <c r="BE59" s="1187"/>
      <c r="BF59" s="1187"/>
      <c r="BG59" s="1187"/>
    </row>
    <row r="60" spans="18:59" x14ac:dyDescent="0.3">
      <c r="R60" s="1187"/>
      <c r="S60" s="1187"/>
      <c r="W60" s="1187"/>
      <c r="X60" s="1187"/>
      <c r="AE60" s="1187"/>
      <c r="AF60" s="1187"/>
      <c r="AV60" s="1187"/>
      <c r="AW60" s="1187"/>
      <c r="AX60" s="1187"/>
      <c r="AY60" s="1187"/>
      <c r="AZ60" s="1187"/>
      <c r="BA60" s="1187"/>
      <c r="BC60" s="1187"/>
      <c r="BE60" s="1187"/>
      <c r="BF60" s="1187"/>
      <c r="BG60" s="1187"/>
    </row>
    <row r="61" spans="18:59" x14ac:dyDescent="0.3">
      <c r="R61" s="1187"/>
      <c r="S61" s="1187"/>
      <c r="W61" s="1187"/>
      <c r="X61" s="1187"/>
      <c r="AE61" s="1187"/>
      <c r="AF61" s="1187"/>
      <c r="AV61" s="1187"/>
      <c r="AW61" s="1187"/>
      <c r="AX61" s="1187"/>
      <c r="AY61" s="1187"/>
      <c r="AZ61" s="1187"/>
      <c r="BA61" s="1187"/>
      <c r="BC61" s="1187"/>
      <c r="BE61" s="1187"/>
      <c r="BF61" s="1187"/>
      <c r="BG61" s="1187"/>
    </row>
    <row r="62" spans="18:59" x14ac:dyDescent="0.3">
      <c r="R62" s="1187"/>
      <c r="S62" s="1187"/>
      <c r="W62" s="1187"/>
      <c r="X62" s="1187"/>
      <c r="AE62" s="1187"/>
      <c r="AF62" s="1187"/>
      <c r="AV62" s="1187"/>
      <c r="AW62" s="1187"/>
      <c r="AX62" s="1187"/>
      <c r="AY62" s="1187"/>
      <c r="AZ62" s="1187"/>
      <c r="BA62" s="1187"/>
      <c r="BC62" s="1187"/>
      <c r="BE62" s="1187"/>
      <c r="BF62" s="1187"/>
      <c r="BG62" s="1187"/>
    </row>
    <row r="63" spans="18:59" x14ac:dyDescent="0.3">
      <c r="R63" s="1187"/>
      <c r="S63" s="1187"/>
      <c r="W63" s="1187"/>
      <c r="X63" s="1187"/>
      <c r="AE63" s="1187"/>
      <c r="AF63" s="1187"/>
      <c r="AV63" s="1187"/>
      <c r="AW63" s="1187"/>
      <c r="AX63" s="1187"/>
      <c r="AY63" s="1187"/>
      <c r="AZ63" s="1187"/>
      <c r="BA63" s="1187"/>
      <c r="BC63" s="1187"/>
      <c r="BE63" s="1187"/>
      <c r="BF63" s="1187"/>
      <c r="BG63" s="1187"/>
    </row>
    <row r="64" spans="18:59" x14ac:dyDescent="0.3">
      <c r="R64" s="1187"/>
      <c r="S64" s="1187"/>
      <c r="W64" s="1187"/>
      <c r="X64" s="1187"/>
      <c r="AE64" s="1187"/>
      <c r="AF64" s="1187"/>
      <c r="AV64" s="1187"/>
      <c r="AW64" s="1187"/>
      <c r="AX64" s="1187"/>
      <c r="AY64" s="1187"/>
      <c r="AZ64" s="1187"/>
      <c r="BA64" s="1187"/>
      <c r="BC64" s="1187"/>
      <c r="BE64" s="1187"/>
      <c r="BF64" s="1187"/>
      <c r="BG64" s="1187"/>
    </row>
    <row r="65" spans="18:59" x14ac:dyDescent="0.3">
      <c r="R65" s="1187"/>
      <c r="S65" s="1187"/>
      <c r="W65" s="1187"/>
      <c r="X65" s="1187"/>
      <c r="AE65" s="1187"/>
      <c r="AF65" s="1187"/>
      <c r="AV65" s="1187"/>
      <c r="AW65" s="1187"/>
      <c r="AX65" s="1187"/>
      <c r="AY65" s="1187"/>
      <c r="AZ65" s="1187"/>
      <c r="BA65" s="1187"/>
      <c r="BC65" s="1187"/>
      <c r="BE65" s="1187"/>
      <c r="BF65" s="1187"/>
      <c r="BG65" s="1187"/>
    </row>
    <row r="66" spans="18:59" x14ac:dyDescent="0.3">
      <c r="R66" s="1187"/>
      <c r="S66" s="1187"/>
      <c r="W66" s="1187"/>
      <c r="X66" s="1187"/>
      <c r="AE66" s="1187"/>
      <c r="AF66" s="1187"/>
      <c r="AV66" s="1187"/>
      <c r="AW66" s="1187"/>
      <c r="AX66" s="1187"/>
      <c r="AY66" s="1187"/>
      <c r="AZ66" s="1187"/>
      <c r="BA66" s="1187"/>
      <c r="BC66" s="1187"/>
      <c r="BE66" s="1187"/>
      <c r="BF66" s="1187"/>
      <c r="BG66" s="1187"/>
    </row>
    <row r="67" spans="18:59" x14ac:dyDescent="0.3">
      <c r="R67" s="1187"/>
      <c r="S67" s="1187"/>
      <c r="W67" s="1187"/>
      <c r="X67" s="1187"/>
      <c r="AE67" s="1187"/>
      <c r="AF67" s="1187"/>
      <c r="AV67" s="1187"/>
      <c r="AW67" s="1187"/>
      <c r="AX67" s="1187"/>
      <c r="AY67" s="1187"/>
      <c r="AZ67" s="1187"/>
      <c r="BA67" s="1187"/>
      <c r="BC67" s="1187"/>
      <c r="BE67" s="1187"/>
      <c r="BF67" s="1187"/>
      <c r="BG67" s="1187"/>
    </row>
    <row r="68" spans="18:59" x14ac:dyDescent="0.3">
      <c r="R68" s="1187"/>
      <c r="S68" s="1187"/>
      <c r="W68" s="1187"/>
      <c r="X68" s="1187"/>
      <c r="AE68" s="1187"/>
      <c r="AF68" s="1187"/>
      <c r="AV68" s="1187"/>
      <c r="AW68" s="1187"/>
      <c r="AX68" s="1187"/>
      <c r="AY68" s="1187"/>
      <c r="AZ68" s="1187"/>
      <c r="BA68" s="1187"/>
      <c r="BC68" s="1187"/>
      <c r="BE68" s="1187"/>
      <c r="BF68" s="1187"/>
      <c r="BG68" s="1187"/>
    </row>
    <row r="69" spans="18:59" x14ac:dyDescent="0.3">
      <c r="R69" s="1187"/>
      <c r="S69" s="1187"/>
      <c r="W69" s="1187"/>
      <c r="X69" s="1187"/>
      <c r="AE69" s="1187"/>
      <c r="AF69" s="1187"/>
      <c r="AV69" s="1187"/>
      <c r="AW69" s="1187"/>
      <c r="AX69" s="1187"/>
      <c r="AY69" s="1187"/>
      <c r="AZ69" s="1187"/>
      <c r="BA69" s="1187"/>
      <c r="BC69" s="1187"/>
      <c r="BE69" s="1187"/>
      <c r="BF69" s="1187"/>
      <c r="BG69" s="1187"/>
    </row>
    <row r="70" spans="18:59" x14ac:dyDescent="0.3">
      <c r="R70" s="1187"/>
      <c r="S70" s="1187"/>
      <c r="W70" s="1187"/>
      <c r="X70" s="1187"/>
      <c r="AE70" s="1187"/>
      <c r="AF70" s="1187"/>
      <c r="AV70" s="1187"/>
      <c r="AW70" s="1187"/>
      <c r="AX70" s="1187"/>
      <c r="AY70" s="1187"/>
      <c r="AZ70" s="1187"/>
      <c r="BA70" s="1187"/>
      <c r="BC70" s="1187"/>
      <c r="BE70" s="1187"/>
      <c r="BF70" s="1187"/>
      <c r="BG70" s="1187"/>
    </row>
    <row r="71" spans="18:59" x14ac:dyDescent="0.3">
      <c r="R71" s="1187"/>
      <c r="S71" s="1187"/>
      <c r="W71" s="1187"/>
      <c r="X71" s="1187"/>
      <c r="AE71" s="1187"/>
      <c r="AF71" s="1187"/>
      <c r="AV71" s="1187"/>
      <c r="AW71" s="1187"/>
      <c r="AX71" s="1187"/>
      <c r="AY71" s="1187"/>
      <c r="AZ71" s="1187"/>
      <c r="BA71" s="1187"/>
      <c r="BC71" s="1187"/>
      <c r="BE71" s="1187"/>
      <c r="BF71" s="1187"/>
      <c r="BG71" s="1187"/>
    </row>
    <row r="72" spans="18:59" x14ac:dyDescent="0.3">
      <c r="R72" s="1187"/>
      <c r="S72" s="1187"/>
      <c r="W72" s="1187"/>
      <c r="X72" s="1187"/>
      <c r="AE72" s="1187"/>
      <c r="AF72" s="1187"/>
      <c r="AV72" s="1187"/>
      <c r="AW72" s="1187"/>
      <c r="AX72" s="1187"/>
      <c r="AY72" s="1187"/>
      <c r="AZ72" s="1187"/>
      <c r="BA72" s="1187"/>
      <c r="BC72" s="1187"/>
      <c r="BE72" s="1187"/>
      <c r="BF72" s="1187"/>
      <c r="BG72" s="1187"/>
    </row>
    <row r="73" spans="18:59" x14ac:dyDescent="0.3">
      <c r="R73" s="1187"/>
      <c r="S73" s="1187"/>
      <c r="W73" s="1187"/>
      <c r="X73" s="1187"/>
      <c r="AE73" s="1187"/>
      <c r="AF73" s="1187"/>
      <c r="AV73" s="1187"/>
      <c r="AW73" s="1187"/>
      <c r="AX73" s="1187"/>
      <c r="AY73" s="1187"/>
      <c r="AZ73" s="1187"/>
      <c r="BA73" s="1187"/>
      <c r="BC73" s="1187"/>
      <c r="BE73" s="1187"/>
      <c r="BF73" s="1187"/>
      <c r="BG73" s="1187"/>
    </row>
    <row r="74" spans="18:59" x14ac:dyDescent="0.3">
      <c r="R74" s="1187"/>
      <c r="S74" s="1187"/>
      <c r="W74" s="1187"/>
      <c r="X74" s="1187"/>
      <c r="AE74" s="1187"/>
      <c r="AF74" s="1187"/>
      <c r="AV74" s="1187"/>
      <c r="AW74" s="1187"/>
      <c r="AX74" s="1187"/>
      <c r="AY74" s="1187"/>
      <c r="AZ74" s="1187"/>
      <c r="BA74" s="1187"/>
      <c r="BC74" s="1187"/>
      <c r="BE74" s="1187"/>
      <c r="BF74" s="1187"/>
      <c r="BG74" s="1187"/>
    </row>
    <row r="75" spans="18:59" x14ac:dyDescent="0.3">
      <c r="R75" s="1187"/>
      <c r="S75" s="1187"/>
      <c r="W75" s="1187"/>
      <c r="X75" s="1187"/>
      <c r="AE75" s="1187"/>
      <c r="AF75" s="1187"/>
      <c r="AV75" s="1187"/>
      <c r="AW75" s="1187"/>
      <c r="AX75" s="1187"/>
      <c r="AY75" s="1187"/>
      <c r="AZ75" s="1187"/>
      <c r="BA75" s="1187"/>
      <c r="BC75" s="1187"/>
      <c r="BE75" s="1187"/>
      <c r="BF75" s="1187"/>
      <c r="BG75" s="1187"/>
    </row>
    <row r="76" spans="18:59" x14ac:dyDescent="0.3">
      <c r="R76" s="1187"/>
      <c r="S76" s="1187"/>
      <c r="W76" s="1187"/>
      <c r="X76" s="1187"/>
      <c r="AE76" s="1187"/>
      <c r="AF76" s="1187"/>
      <c r="AV76" s="1187"/>
      <c r="AW76" s="1187"/>
      <c r="AX76" s="1187"/>
      <c r="AY76" s="1187"/>
      <c r="AZ76" s="1187"/>
      <c r="BA76" s="1187"/>
      <c r="BC76" s="1187"/>
      <c r="BE76" s="1187"/>
      <c r="BF76" s="1187"/>
      <c r="BG76" s="1187"/>
    </row>
    <row r="77" spans="18:59" x14ac:dyDescent="0.3">
      <c r="R77" s="1187"/>
      <c r="S77" s="1187"/>
      <c r="W77" s="1187"/>
      <c r="X77" s="1187"/>
      <c r="AE77" s="1187"/>
      <c r="AF77" s="1187"/>
      <c r="AV77" s="1187"/>
      <c r="AW77" s="1187"/>
      <c r="AX77" s="1187"/>
      <c r="AY77" s="1187"/>
      <c r="AZ77" s="1187"/>
      <c r="BA77" s="1187"/>
      <c r="BC77" s="1187"/>
      <c r="BE77" s="1187"/>
      <c r="BF77" s="1187"/>
      <c r="BG77" s="1187"/>
    </row>
    <row r="78" spans="18:59" x14ac:dyDescent="0.3">
      <c r="R78" s="1187"/>
      <c r="S78" s="1187"/>
      <c r="W78" s="1187"/>
      <c r="X78" s="1187"/>
      <c r="AE78" s="1187"/>
      <c r="AF78" s="1187"/>
      <c r="AV78" s="1187"/>
      <c r="AW78" s="1187"/>
      <c r="AX78" s="1187"/>
      <c r="AY78" s="1187"/>
      <c r="AZ78" s="1187"/>
      <c r="BA78" s="1187"/>
      <c r="BC78" s="1187"/>
      <c r="BE78" s="1187"/>
      <c r="BF78" s="1187"/>
      <c r="BG78" s="1187"/>
    </row>
    <row r="79" spans="18:59" x14ac:dyDescent="0.3">
      <c r="R79" s="1187"/>
      <c r="S79" s="1187"/>
      <c r="W79" s="1187"/>
      <c r="X79" s="1187"/>
      <c r="AE79" s="1187"/>
      <c r="AF79" s="1187"/>
      <c r="AV79" s="1187"/>
      <c r="AW79" s="1187"/>
      <c r="AX79" s="1187"/>
      <c r="AY79" s="1187"/>
      <c r="AZ79" s="1187"/>
      <c r="BA79" s="1187"/>
      <c r="BC79" s="1187"/>
      <c r="BE79" s="1187"/>
      <c r="BF79" s="1187"/>
      <c r="BG79" s="1187"/>
    </row>
    <row r="80" spans="18:59" x14ac:dyDescent="0.3">
      <c r="R80" s="1187"/>
      <c r="S80" s="1187"/>
      <c r="W80" s="1187"/>
      <c r="X80" s="1187"/>
      <c r="AE80" s="1187"/>
      <c r="AF80" s="1187"/>
      <c r="AV80" s="1187"/>
      <c r="AW80" s="1187"/>
      <c r="AX80" s="1187"/>
      <c r="AY80" s="1187"/>
      <c r="AZ80" s="1187"/>
      <c r="BA80" s="1187"/>
      <c r="BC80" s="1187"/>
      <c r="BE80" s="1187"/>
      <c r="BF80" s="1187"/>
      <c r="BG80" s="1187"/>
    </row>
    <row r="81" spans="18:59" x14ac:dyDescent="0.3">
      <c r="R81" s="1187"/>
      <c r="S81" s="1187"/>
      <c r="W81" s="1187"/>
      <c r="X81" s="1187"/>
      <c r="AE81" s="1187"/>
      <c r="AF81" s="1187"/>
      <c r="AV81" s="1187"/>
      <c r="AW81" s="1187"/>
      <c r="AX81" s="1187"/>
      <c r="AY81" s="1187"/>
      <c r="AZ81" s="1187"/>
      <c r="BA81" s="1187"/>
      <c r="BC81" s="1187"/>
      <c r="BE81" s="1187"/>
      <c r="BF81" s="1187"/>
      <c r="BG81" s="1187"/>
    </row>
    <row r="82" spans="18:59" x14ac:dyDescent="0.3">
      <c r="R82" s="1187"/>
      <c r="S82" s="1187"/>
      <c r="W82" s="1187"/>
      <c r="X82" s="1187"/>
      <c r="AE82" s="1187"/>
      <c r="AF82" s="1187"/>
      <c r="AV82" s="1187"/>
      <c r="AW82" s="1187"/>
      <c r="AX82" s="1187"/>
      <c r="AY82" s="1187"/>
      <c r="AZ82" s="1187"/>
      <c r="BA82" s="1187"/>
      <c r="BC82" s="1187"/>
      <c r="BE82" s="1187"/>
      <c r="BF82" s="1187"/>
      <c r="BG82" s="1187"/>
    </row>
    <row r="83" spans="18:59" x14ac:dyDescent="0.3">
      <c r="R83" s="1187"/>
      <c r="S83" s="1187"/>
      <c r="W83" s="1187"/>
      <c r="X83" s="1187"/>
      <c r="AE83" s="1187"/>
      <c r="AF83" s="1187"/>
      <c r="AV83" s="1187"/>
      <c r="AW83" s="1187"/>
      <c r="AX83" s="1187"/>
      <c r="AY83" s="1187"/>
      <c r="AZ83" s="1187"/>
      <c r="BA83" s="1187"/>
      <c r="BC83" s="1187"/>
      <c r="BE83" s="1187"/>
      <c r="BF83" s="1187"/>
      <c r="BG83" s="1187"/>
    </row>
    <row r="84" spans="18:59" x14ac:dyDescent="0.3">
      <c r="R84" s="1187"/>
      <c r="S84" s="1187"/>
      <c r="W84" s="1187"/>
      <c r="X84" s="1187"/>
      <c r="AE84" s="1187"/>
      <c r="AF84" s="1187"/>
      <c r="AV84" s="1187"/>
      <c r="AW84" s="1187"/>
      <c r="AX84" s="1187"/>
      <c r="AY84" s="1187"/>
      <c r="AZ84" s="1187"/>
      <c r="BA84" s="1187"/>
      <c r="BC84" s="1187"/>
      <c r="BE84" s="1187"/>
      <c r="BF84" s="1187"/>
      <c r="BG84" s="1187"/>
    </row>
    <row r="85" spans="18:59" x14ac:dyDescent="0.3">
      <c r="R85" s="1187"/>
      <c r="S85" s="1187"/>
      <c r="W85" s="1187"/>
      <c r="X85" s="1187"/>
      <c r="AE85" s="1187"/>
      <c r="AF85" s="1187"/>
      <c r="AV85" s="1187"/>
      <c r="AW85" s="1187"/>
      <c r="AX85" s="1187"/>
      <c r="AY85" s="1187"/>
      <c r="AZ85" s="1187"/>
      <c r="BA85" s="1187"/>
      <c r="BC85" s="1187"/>
      <c r="BE85" s="1187"/>
      <c r="BF85" s="1187"/>
      <c r="BG85" s="1187"/>
    </row>
    <row r="86" spans="18:59" x14ac:dyDescent="0.3">
      <c r="R86" s="1187"/>
      <c r="S86" s="1187"/>
      <c r="W86" s="1187"/>
      <c r="X86" s="1187"/>
      <c r="AE86" s="1187"/>
      <c r="AF86" s="1187"/>
      <c r="AV86" s="1187"/>
      <c r="AW86" s="1187"/>
      <c r="AX86" s="1187"/>
      <c r="AY86" s="1187"/>
      <c r="AZ86" s="1187"/>
      <c r="BA86" s="1187"/>
      <c r="BC86" s="1187"/>
      <c r="BE86" s="1187"/>
      <c r="BF86" s="1187"/>
      <c r="BG86" s="1187"/>
    </row>
    <row r="87" spans="18:59" x14ac:dyDescent="0.3">
      <c r="R87" s="1187"/>
      <c r="S87" s="1187"/>
      <c r="W87" s="1187"/>
      <c r="X87" s="1187"/>
      <c r="AE87" s="1187"/>
      <c r="AF87" s="1187"/>
      <c r="AV87" s="1187"/>
      <c r="AW87" s="1187"/>
      <c r="AX87" s="1187"/>
      <c r="AY87" s="1187"/>
      <c r="AZ87" s="1187"/>
      <c r="BA87" s="1187"/>
      <c r="BC87" s="1187"/>
      <c r="BE87" s="1187"/>
      <c r="BF87" s="1187"/>
      <c r="BG87" s="1187"/>
    </row>
    <row r="88" spans="18:59" x14ac:dyDescent="0.3">
      <c r="R88" s="1187"/>
      <c r="S88" s="1187"/>
      <c r="W88" s="1187"/>
      <c r="X88" s="1187"/>
      <c r="AE88" s="1187"/>
      <c r="AF88" s="1187"/>
      <c r="AV88" s="1187"/>
      <c r="AW88" s="1187"/>
      <c r="AX88" s="1187"/>
      <c r="AY88" s="1187"/>
      <c r="AZ88" s="1187"/>
      <c r="BA88" s="1187"/>
      <c r="BC88" s="1187"/>
      <c r="BE88" s="1187"/>
      <c r="BF88" s="1187"/>
      <c r="BG88" s="1187"/>
    </row>
    <row r="89" spans="18:59" x14ac:dyDescent="0.3">
      <c r="R89" s="1187"/>
      <c r="S89" s="1187"/>
      <c r="W89" s="1187"/>
      <c r="X89" s="1187"/>
      <c r="AE89" s="1187"/>
      <c r="AF89" s="1187"/>
      <c r="AV89" s="1187"/>
      <c r="AW89" s="1187"/>
      <c r="AX89" s="1187"/>
      <c r="AY89" s="1187"/>
      <c r="AZ89" s="1187"/>
      <c r="BA89" s="1187"/>
      <c r="BC89" s="1187"/>
      <c r="BE89" s="1187"/>
      <c r="BF89" s="1187"/>
      <c r="BG89" s="1187"/>
    </row>
    <row r="90" spans="18:59" x14ac:dyDescent="0.3">
      <c r="R90" s="1187"/>
      <c r="S90" s="1187"/>
      <c r="W90" s="1187"/>
      <c r="X90" s="1187"/>
      <c r="AE90" s="1187"/>
      <c r="AF90" s="1187"/>
      <c r="AV90" s="1187"/>
      <c r="AW90" s="1187"/>
      <c r="AX90" s="1187"/>
      <c r="AY90" s="1187"/>
      <c r="AZ90" s="1187"/>
      <c r="BA90" s="1187"/>
      <c r="BC90" s="1187"/>
      <c r="BE90" s="1187"/>
      <c r="BF90" s="1187"/>
      <c r="BG90" s="1187"/>
    </row>
    <row r="91" spans="18:59" x14ac:dyDescent="0.3">
      <c r="R91" s="1187"/>
      <c r="S91" s="1187"/>
      <c r="W91" s="1187"/>
      <c r="X91" s="1187"/>
      <c r="AE91" s="1187"/>
      <c r="AF91" s="1187"/>
      <c r="AV91" s="1187"/>
      <c r="AW91" s="1187"/>
      <c r="AX91" s="1187"/>
      <c r="AY91" s="1187"/>
      <c r="AZ91" s="1187"/>
      <c r="BA91" s="1187"/>
      <c r="BC91" s="1187"/>
      <c r="BE91" s="1187"/>
      <c r="BF91" s="1187"/>
      <c r="BG91" s="1187"/>
    </row>
    <row r="92" spans="18:59" x14ac:dyDescent="0.3">
      <c r="R92" s="1187"/>
      <c r="S92" s="1187"/>
      <c r="W92" s="1187"/>
      <c r="X92" s="1187"/>
      <c r="AE92" s="1187"/>
      <c r="AF92" s="1187"/>
      <c r="AV92" s="1187"/>
      <c r="AW92" s="1187"/>
      <c r="AX92" s="1187"/>
      <c r="AY92" s="1187"/>
      <c r="AZ92" s="1187"/>
      <c r="BA92" s="1187"/>
      <c r="BC92" s="1187"/>
      <c r="BE92" s="1187"/>
      <c r="BF92" s="1187"/>
      <c r="BG92" s="1187"/>
    </row>
    <row r="93" spans="18:59" x14ac:dyDescent="0.3">
      <c r="R93" s="1187"/>
      <c r="S93" s="1187"/>
      <c r="W93" s="1187"/>
      <c r="X93" s="1187"/>
      <c r="AE93" s="1187"/>
      <c r="AF93" s="1187"/>
      <c r="AV93" s="1187"/>
      <c r="AW93" s="1187"/>
      <c r="AX93" s="1187"/>
      <c r="AY93" s="1187"/>
      <c r="AZ93" s="1187"/>
      <c r="BA93" s="1187"/>
      <c r="BC93" s="1187"/>
      <c r="BE93" s="1187"/>
      <c r="BF93" s="1187"/>
      <c r="BG93" s="1187"/>
    </row>
    <row r="94" spans="18:59" x14ac:dyDescent="0.3">
      <c r="R94" s="1187"/>
      <c r="S94" s="1187"/>
      <c r="W94" s="1187"/>
      <c r="X94" s="1187"/>
      <c r="AE94" s="1187"/>
      <c r="AF94" s="1187"/>
      <c r="AV94" s="1187"/>
      <c r="AW94" s="1187"/>
      <c r="AX94" s="1187"/>
      <c r="AY94" s="1187"/>
      <c r="AZ94" s="1187"/>
      <c r="BA94" s="1187"/>
      <c r="BC94" s="1187"/>
      <c r="BE94" s="1187"/>
      <c r="BF94" s="1187"/>
      <c r="BG94" s="1187"/>
    </row>
    <row r="95" spans="18:59" x14ac:dyDescent="0.3">
      <c r="R95" s="1187"/>
      <c r="S95" s="1187"/>
      <c r="W95" s="1187"/>
      <c r="X95" s="1187"/>
      <c r="AE95" s="1187"/>
      <c r="AF95" s="1187"/>
      <c r="AV95" s="1187"/>
      <c r="AW95" s="1187"/>
      <c r="AX95" s="1187"/>
      <c r="AY95" s="1187"/>
      <c r="AZ95" s="1187"/>
      <c r="BA95" s="1187"/>
      <c r="BC95" s="1187"/>
      <c r="BE95" s="1187"/>
      <c r="BF95" s="1187"/>
      <c r="BG95" s="1187"/>
    </row>
    <row r="96" spans="18:59" x14ac:dyDescent="0.3">
      <c r="R96" s="1187"/>
      <c r="S96" s="1187"/>
      <c r="W96" s="1187"/>
      <c r="X96" s="1187"/>
      <c r="AE96" s="1187"/>
      <c r="AF96" s="1187"/>
      <c r="AV96" s="1187"/>
      <c r="AW96" s="1187"/>
      <c r="AX96" s="1187"/>
      <c r="AY96" s="1187"/>
      <c r="AZ96" s="1187"/>
      <c r="BA96" s="1187"/>
      <c r="BC96" s="1187"/>
      <c r="BE96" s="1187"/>
      <c r="BF96" s="1187"/>
      <c r="BG96" s="1187"/>
    </row>
    <row r="97" spans="18:59" x14ac:dyDescent="0.3">
      <c r="R97" s="1187"/>
      <c r="S97" s="1187"/>
      <c r="W97" s="1187"/>
      <c r="X97" s="1187"/>
      <c r="AE97" s="1187"/>
      <c r="AF97" s="1187"/>
      <c r="AV97" s="1187"/>
      <c r="AW97" s="1187"/>
      <c r="AX97" s="1187"/>
      <c r="AY97" s="1187"/>
      <c r="AZ97" s="1187"/>
      <c r="BA97" s="1187"/>
      <c r="BC97" s="1187"/>
      <c r="BE97" s="1187"/>
      <c r="BF97" s="1187"/>
      <c r="BG97" s="1187"/>
    </row>
    <row r="98" spans="18:59" x14ac:dyDescent="0.3">
      <c r="R98" s="1187"/>
      <c r="S98" s="1187"/>
      <c r="W98" s="1187"/>
      <c r="X98" s="1187"/>
      <c r="AE98" s="1187"/>
      <c r="AF98" s="1187"/>
      <c r="AV98" s="1187"/>
      <c r="AW98" s="1187"/>
      <c r="AX98" s="1187"/>
      <c r="AY98" s="1187"/>
      <c r="AZ98" s="1187"/>
      <c r="BA98" s="1187"/>
      <c r="BC98" s="1187"/>
      <c r="BE98" s="1187"/>
      <c r="BF98" s="1187"/>
      <c r="BG98" s="1187"/>
    </row>
    <row r="99" spans="18:59" x14ac:dyDescent="0.3">
      <c r="R99" s="1187"/>
      <c r="S99" s="1187"/>
      <c r="W99" s="1187"/>
      <c r="X99" s="1187"/>
      <c r="AE99" s="1187"/>
      <c r="AF99" s="1187"/>
      <c r="AV99" s="1187"/>
      <c r="AW99" s="1187"/>
      <c r="AX99" s="1187"/>
      <c r="AY99" s="1187"/>
      <c r="AZ99" s="1187"/>
      <c r="BA99" s="1187"/>
      <c r="BC99" s="1187"/>
      <c r="BE99" s="1187"/>
      <c r="BF99" s="1187"/>
      <c r="BG99" s="1187"/>
    </row>
    <row r="100" spans="18:59" x14ac:dyDescent="0.3">
      <c r="R100" s="1187"/>
      <c r="S100" s="1187"/>
      <c r="W100" s="1187"/>
      <c r="X100" s="1187"/>
      <c r="AE100" s="1187"/>
      <c r="AF100" s="1187"/>
      <c r="AV100" s="1187"/>
      <c r="AW100" s="1187"/>
      <c r="AX100" s="1187"/>
      <c r="AY100" s="1187"/>
      <c r="AZ100" s="1187"/>
      <c r="BA100" s="1187"/>
      <c r="BC100" s="1187"/>
      <c r="BE100" s="1187"/>
      <c r="BF100" s="1187"/>
      <c r="BG100" s="1187"/>
    </row>
    <row r="101" spans="18:59" x14ac:dyDescent="0.3">
      <c r="R101" s="1187"/>
      <c r="S101" s="1187"/>
      <c r="W101" s="1187"/>
      <c r="X101" s="1187"/>
      <c r="AE101" s="1187"/>
      <c r="AF101" s="1187"/>
      <c r="AV101" s="1187"/>
      <c r="AW101" s="1187"/>
      <c r="AX101" s="1187"/>
      <c r="AY101" s="1187"/>
      <c r="AZ101" s="1187"/>
      <c r="BA101" s="1187"/>
      <c r="BC101" s="1187"/>
      <c r="BE101" s="1187"/>
      <c r="BF101" s="1187"/>
      <c r="BG101" s="1187"/>
    </row>
    <row r="102" spans="18:59" x14ac:dyDescent="0.3">
      <c r="R102" s="1187"/>
      <c r="S102" s="1187"/>
      <c r="W102" s="1187"/>
      <c r="X102" s="1187"/>
      <c r="AE102" s="1187"/>
      <c r="AF102" s="1187"/>
      <c r="AV102" s="1187"/>
      <c r="AW102" s="1187"/>
      <c r="AX102" s="1187"/>
      <c r="AY102" s="1187"/>
      <c r="AZ102" s="1187"/>
      <c r="BA102" s="1187"/>
      <c r="BC102" s="1187"/>
      <c r="BE102" s="1187"/>
      <c r="BF102" s="1187"/>
      <c r="BG102" s="1187"/>
    </row>
    <row r="103" spans="18:59" x14ac:dyDescent="0.3">
      <c r="R103" s="1187"/>
      <c r="S103" s="1187"/>
      <c r="W103" s="1187"/>
      <c r="X103" s="1187"/>
      <c r="AE103" s="1187"/>
      <c r="AF103" s="1187"/>
      <c r="AV103" s="1187"/>
      <c r="AW103" s="1187"/>
      <c r="AX103" s="1187"/>
      <c r="AY103" s="1187"/>
      <c r="AZ103" s="1187"/>
      <c r="BA103" s="1187"/>
      <c r="BC103" s="1187"/>
      <c r="BE103" s="1187"/>
      <c r="BF103" s="1187"/>
      <c r="BG103" s="1187"/>
    </row>
    <row r="104" spans="18:59" x14ac:dyDescent="0.3">
      <c r="R104" s="1187"/>
      <c r="S104" s="1187"/>
      <c r="W104" s="1187"/>
      <c r="X104" s="1187"/>
      <c r="AE104" s="1187"/>
      <c r="AF104" s="1187"/>
      <c r="AV104" s="1187"/>
      <c r="AW104" s="1187"/>
      <c r="AX104" s="1187"/>
      <c r="AY104" s="1187"/>
      <c r="AZ104" s="1187"/>
      <c r="BA104" s="1187"/>
      <c r="BC104" s="1187"/>
      <c r="BE104" s="1187"/>
      <c r="BF104" s="1187"/>
      <c r="BG104" s="1187"/>
    </row>
    <row r="105" spans="18:59" x14ac:dyDescent="0.3">
      <c r="R105" s="1187"/>
      <c r="S105" s="1187"/>
      <c r="W105" s="1187"/>
      <c r="X105" s="1187"/>
      <c r="AE105" s="1187"/>
      <c r="AF105" s="1187"/>
      <c r="AV105" s="1187"/>
      <c r="AW105" s="1187"/>
      <c r="AX105" s="1187"/>
      <c r="AY105" s="1187"/>
      <c r="AZ105" s="1187"/>
      <c r="BA105" s="1187"/>
      <c r="BC105" s="1187"/>
      <c r="BE105" s="1187"/>
      <c r="BF105" s="1187"/>
      <c r="BG105" s="1187"/>
    </row>
    <row r="106" spans="18:59" x14ac:dyDescent="0.3">
      <c r="R106" s="1187"/>
      <c r="S106" s="1187"/>
      <c r="W106" s="1187"/>
      <c r="X106" s="1187"/>
      <c r="AE106" s="1187"/>
      <c r="AF106" s="1187"/>
      <c r="AV106" s="1187"/>
      <c r="AW106" s="1187"/>
      <c r="AX106" s="1187"/>
      <c r="AY106" s="1187"/>
      <c r="AZ106" s="1187"/>
      <c r="BA106" s="1187"/>
      <c r="BC106" s="1187"/>
      <c r="BE106" s="1187"/>
      <c r="BF106" s="1187"/>
      <c r="BG106" s="1187"/>
    </row>
    <row r="107" spans="18:59" x14ac:dyDescent="0.3">
      <c r="R107" s="1187"/>
      <c r="S107" s="1187"/>
      <c r="W107" s="1187"/>
      <c r="X107" s="1187"/>
      <c r="AE107" s="1187"/>
      <c r="AF107" s="1187"/>
      <c r="AV107" s="1187"/>
      <c r="AW107" s="1187"/>
      <c r="AX107" s="1187"/>
      <c r="AY107" s="1187"/>
      <c r="AZ107" s="1187"/>
      <c r="BA107" s="1187"/>
      <c r="BC107" s="1187"/>
      <c r="BE107" s="1187"/>
      <c r="BF107" s="1187"/>
      <c r="BG107" s="1187"/>
    </row>
    <row r="108" spans="18:59" x14ac:dyDescent="0.3">
      <c r="R108" s="1187"/>
      <c r="S108" s="1187"/>
      <c r="W108" s="1187"/>
      <c r="X108" s="1187"/>
      <c r="AE108" s="1187"/>
      <c r="AF108" s="1187"/>
      <c r="AV108" s="1187"/>
      <c r="AW108" s="1187"/>
      <c r="AX108" s="1187"/>
      <c r="AY108" s="1187"/>
      <c r="AZ108" s="1187"/>
      <c r="BA108" s="1187"/>
      <c r="BC108" s="1187"/>
      <c r="BE108" s="1187"/>
      <c r="BF108" s="1187"/>
      <c r="BG108" s="1187"/>
    </row>
    <row r="109" spans="18:59" x14ac:dyDescent="0.3">
      <c r="R109" s="1187"/>
      <c r="S109" s="1187"/>
      <c r="W109" s="1187"/>
      <c r="X109" s="1187"/>
      <c r="AE109" s="1187"/>
      <c r="AF109" s="1187"/>
      <c r="AV109" s="1187"/>
      <c r="AW109" s="1187"/>
      <c r="AX109" s="1187"/>
      <c r="AY109" s="1187"/>
      <c r="AZ109" s="1187"/>
      <c r="BA109" s="1187"/>
      <c r="BC109" s="1187"/>
      <c r="BE109" s="1187"/>
      <c r="BF109" s="1187"/>
      <c r="BG109" s="1187"/>
    </row>
    <row r="110" spans="18:59" x14ac:dyDescent="0.3">
      <c r="R110" s="1187"/>
      <c r="S110" s="1187"/>
      <c r="W110" s="1187"/>
      <c r="X110" s="1187"/>
      <c r="AE110" s="1187"/>
      <c r="AF110" s="1187"/>
      <c r="AV110" s="1187"/>
      <c r="AW110" s="1187"/>
      <c r="AX110" s="1187"/>
      <c r="AY110" s="1187"/>
      <c r="AZ110" s="1187"/>
      <c r="BA110" s="1187"/>
      <c r="BC110" s="1187"/>
      <c r="BE110" s="1187"/>
      <c r="BF110" s="1187"/>
      <c r="BG110" s="1187"/>
    </row>
    <row r="111" spans="18:59" x14ac:dyDescent="0.3">
      <c r="R111" s="1187"/>
      <c r="S111" s="1187"/>
      <c r="W111" s="1187"/>
      <c r="X111" s="1187"/>
      <c r="AE111" s="1187"/>
      <c r="AF111" s="1187"/>
      <c r="AV111" s="1187"/>
      <c r="AW111" s="1187"/>
      <c r="AX111" s="1187"/>
      <c r="AY111" s="1187"/>
      <c r="AZ111" s="1187"/>
      <c r="BA111" s="1187"/>
      <c r="BC111" s="1187"/>
      <c r="BE111" s="1187"/>
      <c r="BF111" s="1187"/>
      <c r="BG111" s="1187"/>
    </row>
    <row r="112" spans="18:59" x14ac:dyDescent="0.3">
      <c r="R112" s="1187"/>
      <c r="S112" s="1187"/>
      <c r="W112" s="1187"/>
      <c r="X112" s="1187"/>
      <c r="AE112" s="1187"/>
      <c r="AF112" s="1187"/>
      <c r="AV112" s="1187"/>
      <c r="AW112" s="1187"/>
      <c r="AX112" s="1187"/>
      <c r="AY112" s="1187"/>
      <c r="AZ112" s="1187"/>
      <c r="BA112" s="1187"/>
      <c r="BC112" s="1187"/>
      <c r="BE112" s="1187"/>
      <c r="BF112" s="1187"/>
      <c r="BG112" s="1187"/>
    </row>
    <row r="113" spans="18:59" x14ac:dyDescent="0.3">
      <c r="R113" s="1187"/>
      <c r="S113" s="1187"/>
      <c r="W113" s="1187"/>
      <c r="X113" s="1187"/>
      <c r="AE113" s="1187"/>
      <c r="AF113" s="1187"/>
      <c r="AV113" s="1187"/>
      <c r="AW113" s="1187"/>
      <c r="AX113" s="1187"/>
      <c r="AY113" s="1187"/>
      <c r="AZ113" s="1187"/>
      <c r="BA113" s="1187"/>
      <c r="BC113" s="1187"/>
      <c r="BE113" s="1187"/>
      <c r="BF113" s="1187"/>
      <c r="BG113" s="1187"/>
    </row>
    <row r="114" spans="18:59" x14ac:dyDescent="0.3">
      <c r="R114" s="1187"/>
      <c r="S114" s="1187"/>
      <c r="W114" s="1187"/>
      <c r="X114" s="1187"/>
      <c r="AE114" s="1187"/>
      <c r="AF114" s="1187"/>
      <c r="AV114" s="1187"/>
      <c r="AW114" s="1187"/>
      <c r="AX114" s="1187"/>
      <c r="AY114" s="1187"/>
      <c r="AZ114" s="1187"/>
      <c r="BA114" s="1187"/>
      <c r="BC114" s="1187"/>
      <c r="BE114" s="1187"/>
      <c r="BF114" s="1187"/>
      <c r="BG114" s="1187"/>
    </row>
    <row r="115" spans="18:59" x14ac:dyDescent="0.3">
      <c r="R115" s="1187"/>
      <c r="S115" s="1187"/>
      <c r="W115" s="1187"/>
      <c r="X115" s="1187"/>
      <c r="AE115" s="1187"/>
      <c r="AF115" s="1187"/>
      <c r="AV115" s="1187"/>
      <c r="AW115" s="1187"/>
      <c r="AX115" s="1187"/>
      <c r="AY115" s="1187"/>
      <c r="AZ115" s="1187"/>
      <c r="BA115" s="1187"/>
      <c r="BC115" s="1187"/>
      <c r="BE115" s="1187"/>
      <c r="BF115" s="1187"/>
      <c r="BG115" s="1187"/>
    </row>
    <row r="116" spans="18:59" x14ac:dyDescent="0.3">
      <c r="R116" s="1187"/>
      <c r="S116" s="1187"/>
      <c r="W116" s="1187"/>
      <c r="X116" s="1187"/>
      <c r="AE116" s="1187"/>
      <c r="AF116" s="1187"/>
      <c r="AV116" s="1187"/>
      <c r="AW116" s="1187"/>
      <c r="AX116" s="1187"/>
      <c r="AY116" s="1187"/>
      <c r="AZ116" s="1187"/>
      <c r="BA116" s="1187"/>
      <c r="BC116" s="1187"/>
      <c r="BE116" s="1187"/>
      <c r="BF116" s="1187"/>
      <c r="BG116" s="1187"/>
    </row>
    <row r="117" spans="18:59" x14ac:dyDescent="0.3">
      <c r="R117" s="1187"/>
      <c r="S117" s="1187"/>
      <c r="W117" s="1187"/>
      <c r="X117" s="1187"/>
      <c r="AE117" s="1187"/>
      <c r="AF117" s="1187"/>
      <c r="AV117" s="1187"/>
      <c r="AW117" s="1187"/>
      <c r="AX117" s="1187"/>
      <c r="AY117" s="1187"/>
      <c r="AZ117" s="1187"/>
      <c r="BA117" s="1187"/>
      <c r="BC117" s="1187"/>
      <c r="BE117" s="1187"/>
      <c r="BF117" s="1187"/>
      <c r="BG117" s="1187"/>
    </row>
    <row r="118" spans="18:59" x14ac:dyDescent="0.3">
      <c r="R118" s="1187"/>
      <c r="S118" s="1187"/>
      <c r="W118" s="1187"/>
      <c r="X118" s="1187"/>
      <c r="AE118" s="1187"/>
      <c r="AF118" s="1187"/>
      <c r="AV118" s="1187"/>
      <c r="AW118" s="1187"/>
      <c r="AX118" s="1187"/>
      <c r="AY118" s="1187"/>
      <c r="AZ118" s="1187"/>
      <c r="BA118" s="1187"/>
      <c r="BC118" s="1187"/>
      <c r="BE118" s="1187"/>
      <c r="BF118" s="1187"/>
      <c r="BG118" s="1187"/>
    </row>
    <row r="119" spans="18:59" x14ac:dyDescent="0.3">
      <c r="R119" s="1187"/>
      <c r="S119" s="1187"/>
      <c r="W119" s="1187"/>
      <c r="X119" s="1187"/>
      <c r="AE119" s="1187"/>
      <c r="AF119" s="1187"/>
      <c r="AV119" s="1187"/>
      <c r="AW119" s="1187"/>
      <c r="AX119" s="1187"/>
      <c r="AY119" s="1187"/>
      <c r="AZ119" s="1187"/>
      <c r="BA119" s="1187"/>
      <c r="BC119" s="1187"/>
      <c r="BE119" s="1187"/>
      <c r="BF119" s="1187"/>
      <c r="BG119" s="1187"/>
    </row>
    <row r="120" spans="18:59" x14ac:dyDescent="0.3">
      <c r="R120" s="1187"/>
      <c r="S120" s="1187"/>
      <c r="W120" s="1187"/>
      <c r="X120" s="1187"/>
      <c r="AE120" s="1187"/>
      <c r="AF120" s="1187"/>
      <c r="AV120" s="1187"/>
      <c r="AW120" s="1187"/>
      <c r="AX120" s="1187"/>
      <c r="AY120" s="1187"/>
      <c r="AZ120" s="1187"/>
      <c r="BA120" s="1187"/>
      <c r="BC120" s="1187"/>
      <c r="BE120" s="1187"/>
      <c r="BF120" s="1187"/>
      <c r="BG120" s="1187"/>
    </row>
    <row r="121" spans="18:59" x14ac:dyDescent="0.3">
      <c r="R121" s="1187"/>
      <c r="S121" s="1187"/>
      <c r="W121" s="1187"/>
      <c r="X121" s="1187"/>
      <c r="AE121" s="1187"/>
      <c r="AF121" s="1187"/>
      <c r="AV121" s="1187"/>
      <c r="AW121" s="1187"/>
      <c r="AX121" s="1187"/>
      <c r="AY121" s="1187"/>
      <c r="AZ121" s="1187"/>
      <c r="BA121" s="1187"/>
      <c r="BC121" s="1187"/>
      <c r="BE121" s="1187"/>
      <c r="BF121" s="1187"/>
      <c r="BG121" s="1187"/>
    </row>
    <row r="122" spans="18:59" x14ac:dyDescent="0.3">
      <c r="R122" s="1187"/>
      <c r="S122" s="1187"/>
      <c r="W122" s="1187"/>
      <c r="X122" s="1187"/>
      <c r="AE122" s="1187"/>
      <c r="AF122" s="1187"/>
      <c r="AV122" s="1187"/>
      <c r="AW122" s="1187"/>
      <c r="AX122" s="1187"/>
      <c r="AY122" s="1187"/>
      <c r="AZ122" s="1187"/>
      <c r="BA122" s="1187"/>
      <c r="BC122" s="1187"/>
      <c r="BE122" s="1187"/>
      <c r="BF122" s="1187"/>
      <c r="BG122" s="1187"/>
    </row>
    <row r="123" spans="18:59" x14ac:dyDescent="0.3">
      <c r="R123" s="1187"/>
      <c r="S123" s="1187"/>
      <c r="W123" s="1187"/>
      <c r="X123" s="1187"/>
      <c r="AE123" s="1187"/>
      <c r="AF123" s="1187"/>
      <c r="AV123" s="1187"/>
      <c r="AW123" s="1187"/>
      <c r="AX123" s="1187"/>
      <c r="AY123" s="1187"/>
      <c r="AZ123" s="1187"/>
      <c r="BA123" s="1187"/>
      <c r="BC123" s="1187"/>
      <c r="BE123" s="1187"/>
      <c r="BF123" s="1187"/>
      <c r="BG123" s="1187"/>
    </row>
    <row r="124" spans="18:59" x14ac:dyDescent="0.3">
      <c r="R124" s="1187"/>
      <c r="S124" s="1187"/>
      <c r="W124" s="1187"/>
      <c r="X124" s="1187"/>
      <c r="AE124" s="1187"/>
      <c r="AF124" s="1187"/>
      <c r="AV124" s="1187"/>
      <c r="AW124" s="1187"/>
      <c r="AX124" s="1187"/>
      <c r="AY124" s="1187"/>
      <c r="AZ124" s="1187"/>
      <c r="BA124" s="1187"/>
      <c r="BC124" s="1187"/>
      <c r="BE124" s="1187"/>
      <c r="BF124" s="1187"/>
      <c r="BG124" s="1187"/>
    </row>
    <row r="125" spans="18:59" x14ac:dyDescent="0.3">
      <c r="R125" s="1187"/>
      <c r="S125" s="1187"/>
      <c r="W125" s="1187"/>
      <c r="X125" s="1187"/>
      <c r="AE125" s="1187"/>
      <c r="AF125" s="1187"/>
      <c r="AV125" s="1187"/>
      <c r="AW125" s="1187"/>
      <c r="AX125" s="1187"/>
      <c r="AY125" s="1187"/>
      <c r="AZ125" s="1187"/>
      <c r="BA125" s="1187"/>
      <c r="BC125" s="1187"/>
      <c r="BE125" s="1187"/>
      <c r="BF125" s="1187"/>
      <c r="BG125" s="1187"/>
    </row>
    <row r="126" spans="18:59" x14ac:dyDescent="0.3">
      <c r="R126" s="1187"/>
      <c r="S126" s="1187"/>
      <c r="W126" s="1187"/>
      <c r="X126" s="1187"/>
      <c r="AE126" s="1187"/>
      <c r="AF126" s="1187"/>
      <c r="AV126" s="1187"/>
      <c r="AW126" s="1187"/>
      <c r="AX126" s="1187"/>
      <c r="AY126" s="1187"/>
      <c r="AZ126" s="1187"/>
      <c r="BA126" s="1187"/>
      <c r="BC126" s="1187"/>
      <c r="BE126" s="1187"/>
      <c r="BF126" s="1187"/>
      <c r="BG126" s="1187"/>
    </row>
    <row r="127" spans="18:59" x14ac:dyDescent="0.3">
      <c r="R127" s="1187"/>
      <c r="S127" s="1187"/>
      <c r="W127" s="1187"/>
      <c r="X127" s="1187"/>
      <c r="AE127" s="1187"/>
      <c r="AF127" s="1187"/>
      <c r="AV127" s="1187"/>
      <c r="AW127" s="1187"/>
      <c r="AX127" s="1187"/>
      <c r="AY127" s="1187"/>
      <c r="AZ127" s="1187"/>
      <c r="BA127" s="1187"/>
      <c r="BC127" s="1187"/>
      <c r="BE127" s="1187"/>
      <c r="BF127" s="1187"/>
      <c r="BG127" s="1187"/>
    </row>
    <row r="128" spans="18:59" x14ac:dyDescent="0.3">
      <c r="R128" s="1187"/>
      <c r="S128" s="1187"/>
      <c r="W128" s="1187"/>
      <c r="X128" s="1187"/>
      <c r="AE128" s="1187"/>
      <c r="AF128" s="1187"/>
      <c r="AV128" s="1187"/>
      <c r="AW128" s="1187"/>
      <c r="AX128" s="1187"/>
      <c r="AY128" s="1187"/>
      <c r="AZ128" s="1187"/>
      <c r="BA128" s="1187"/>
      <c r="BC128" s="1187"/>
      <c r="BE128" s="1187"/>
      <c r="BF128" s="1187"/>
      <c r="BG128" s="1187"/>
    </row>
    <row r="129" spans="18:59" x14ac:dyDescent="0.3">
      <c r="R129" s="1187"/>
      <c r="S129" s="1187"/>
      <c r="W129" s="1187"/>
      <c r="X129" s="1187"/>
      <c r="AE129" s="1187"/>
      <c r="AF129" s="1187"/>
      <c r="AV129" s="1187"/>
      <c r="AW129" s="1187"/>
      <c r="AX129" s="1187"/>
      <c r="AY129" s="1187"/>
      <c r="AZ129" s="1187"/>
      <c r="BA129" s="1187"/>
      <c r="BC129" s="1187"/>
      <c r="BE129" s="1187"/>
      <c r="BF129" s="1187"/>
      <c r="BG129" s="1187"/>
    </row>
    <row r="130" spans="18:59" x14ac:dyDescent="0.3">
      <c r="R130" s="1187"/>
      <c r="S130" s="1187"/>
      <c r="W130" s="1187"/>
      <c r="X130" s="1187"/>
      <c r="AE130" s="1187"/>
      <c r="AF130" s="1187"/>
      <c r="AV130" s="1187"/>
      <c r="AW130" s="1187"/>
      <c r="AX130" s="1187"/>
      <c r="AY130" s="1187"/>
      <c r="AZ130" s="1187"/>
      <c r="BA130" s="1187"/>
      <c r="BC130" s="1187"/>
      <c r="BE130" s="1187"/>
      <c r="BF130" s="1187"/>
      <c r="BG130" s="1187"/>
    </row>
    <row r="131" spans="18:59" x14ac:dyDescent="0.3">
      <c r="R131" s="1187"/>
      <c r="S131" s="1187"/>
      <c r="W131" s="1187"/>
      <c r="X131" s="1187"/>
      <c r="AE131" s="1187"/>
      <c r="AF131" s="1187"/>
      <c r="AV131" s="1187"/>
      <c r="AW131" s="1187"/>
      <c r="AX131" s="1187"/>
      <c r="AY131" s="1187"/>
      <c r="AZ131" s="1187"/>
      <c r="BA131" s="1187"/>
      <c r="BC131" s="1187"/>
      <c r="BE131" s="1187"/>
      <c r="BF131" s="1187"/>
      <c r="BG131" s="1187"/>
    </row>
    <row r="132" spans="18:59" x14ac:dyDescent="0.3">
      <c r="R132" s="1187"/>
      <c r="S132" s="1187"/>
      <c r="W132" s="1187"/>
      <c r="X132" s="1187"/>
      <c r="AE132" s="1187"/>
      <c r="AF132" s="1187"/>
      <c r="AV132" s="1187"/>
      <c r="AW132" s="1187"/>
      <c r="AX132" s="1187"/>
      <c r="AY132" s="1187"/>
      <c r="AZ132" s="1187"/>
      <c r="BA132" s="1187"/>
      <c r="BC132" s="1187"/>
      <c r="BE132" s="1187"/>
      <c r="BF132" s="1187"/>
      <c r="BG132" s="1187"/>
    </row>
    <row r="133" spans="18:59" x14ac:dyDescent="0.3">
      <c r="R133" s="1187"/>
      <c r="S133" s="1187"/>
      <c r="W133" s="1187"/>
      <c r="X133" s="1187"/>
      <c r="AE133" s="1187"/>
      <c r="AF133" s="1187"/>
      <c r="AV133" s="1187"/>
      <c r="AW133" s="1187"/>
      <c r="AX133" s="1187"/>
      <c r="AY133" s="1187"/>
      <c r="AZ133" s="1187"/>
      <c r="BA133" s="1187"/>
      <c r="BC133" s="1187"/>
      <c r="BE133" s="1187"/>
      <c r="BF133" s="1187"/>
      <c r="BG133" s="1187"/>
    </row>
    <row r="134" spans="18:59" x14ac:dyDescent="0.3">
      <c r="R134" s="1187"/>
      <c r="S134" s="1187"/>
      <c r="W134" s="1187"/>
      <c r="X134" s="1187"/>
      <c r="AE134" s="1187"/>
      <c r="AF134" s="1187"/>
      <c r="AV134" s="1187"/>
      <c r="AW134" s="1187"/>
      <c r="AX134" s="1187"/>
      <c r="AY134" s="1187"/>
      <c r="AZ134" s="1187"/>
      <c r="BA134" s="1187"/>
      <c r="BC134" s="1187"/>
      <c r="BE134" s="1187"/>
      <c r="BF134" s="1187"/>
      <c r="BG134" s="1187"/>
    </row>
    <row r="135" spans="18:59" x14ac:dyDescent="0.3">
      <c r="R135" s="1187"/>
      <c r="S135" s="1187"/>
      <c r="W135" s="1187"/>
      <c r="X135" s="1187"/>
      <c r="AE135" s="1187"/>
      <c r="AF135" s="1187"/>
      <c r="AV135" s="1187"/>
      <c r="AW135" s="1187"/>
      <c r="AX135" s="1187"/>
      <c r="AY135" s="1187"/>
      <c r="AZ135" s="1187"/>
      <c r="BA135" s="1187"/>
      <c r="BC135" s="1187"/>
      <c r="BE135" s="1187"/>
      <c r="BF135" s="1187"/>
      <c r="BG135" s="1187"/>
    </row>
    <row r="136" spans="18:59" x14ac:dyDescent="0.3">
      <c r="R136" s="1187"/>
      <c r="S136" s="1187"/>
      <c r="W136" s="1187"/>
      <c r="X136" s="1187"/>
      <c r="AE136" s="1187"/>
      <c r="AF136" s="1187"/>
      <c r="AV136" s="1187"/>
      <c r="AW136" s="1187"/>
      <c r="AX136" s="1187"/>
      <c r="AY136" s="1187"/>
      <c r="AZ136" s="1187"/>
      <c r="BA136" s="1187"/>
      <c r="BC136" s="1187"/>
      <c r="BE136" s="1187"/>
      <c r="BF136" s="1187"/>
      <c r="BG136" s="1187"/>
    </row>
    <row r="137" spans="18:59" x14ac:dyDescent="0.3">
      <c r="R137" s="1187"/>
      <c r="S137" s="1187"/>
      <c r="W137" s="1187"/>
      <c r="X137" s="1187"/>
      <c r="AE137" s="1187"/>
      <c r="AF137" s="1187"/>
      <c r="AV137" s="1187"/>
      <c r="AW137" s="1187"/>
      <c r="AX137" s="1187"/>
      <c r="AY137" s="1187"/>
      <c r="AZ137" s="1187"/>
      <c r="BA137" s="1187"/>
      <c r="BC137" s="1187"/>
      <c r="BE137" s="1187"/>
      <c r="BF137" s="1187"/>
      <c r="BG137" s="1187"/>
    </row>
    <row r="138" spans="18:59" x14ac:dyDescent="0.3">
      <c r="R138" s="1187"/>
      <c r="S138" s="1187"/>
      <c r="W138" s="1187"/>
      <c r="X138" s="1187"/>
      <c r="AE138" s="1187"/>
      <c r="AF138" s="1187"/>
      <c r="AV138" s="1187"/>
      <c r="AW138" s="1187"/>
      <c r="AX138" s="1187"/>
      <c r="AY138" s="1187"/>
      <c r="AZ138" s="1187"/>
      <c r="BA138" s="1187"/>
      <c r="BC138" s="1187"/>
      <c r="BE138" s="1187"/>
      <c r="BF138" s="1187"/>
      <c r="BG138" s="1187"/>
    </row>
    <row r="139" spans="18:59" x14ac:dyDescent="0.3">
      <c r="R139" s="1187"/>
      <c r="S139" s="1187"/>
      <c r="W139" s="1187"/>
      <c r="X139" s="1187"/>
      <c r="AE139" s="1187"/>
      <c r="AF139" s="1187"/>
      <c r="AV139" s="1187"/>
      <c r="AW139" s="1187"/>
      <c r="AX139" s="1187"/>
      <c r="AY139" s="1187"/>
      <c r="AZ139" s="1187"/>
      <c r="BA139" s="1187"/>
      <c r="BC139" s="1187"/>
      <c r="BE139" s="1187"/>
      <c r="BF139" s="1187"/>
      <c r="BG139" s="1187"/>
    </row>
    <row r="140" spans="18:59" x14ac:dyDescent="0.3">
      <c r="R140" s="1187"/>
      <c r="S140" s="1187"/>
      <c r="W140" s="1187"/>
      <c r="X140" s="1187"/>
      <c r="AE140" s="1187"/>
      <c r="AF140" s="1187"/>
      <c r="AV140" s="1187"/>
      <c r="AW140" s="1187"/>
      <c r="AX140" s="1187"/>
      <c r="AY140" s="1187"/>
      <c r="AZ140" s="1187"/>
      <c r="BA140" s="1187"/>
      <c r="BC140" s="1187"/>
      <c r="BE140" s="1187"/>
      <c r="BF140" s="1187"/>
      <c r="BG140" s="1187"/>
    </row>
    <row r="141" spans="18:59" x14ac:dyDescent="0.3">
      <c r="R141" s="1187"/>
      <c r="S141" s="1187"/>
      <c r="W141" s="1187"/>
      <c r="X141" s="1187"/>
      <c r="AE141" s="1187"/>
      <c r="AF141" s="1187"/>
      <c r="AV141" s="1187"/>
      <c r="AW141" s="1187"/>
      <c r="AX141" s="1187"/>
      <c r="AY141" s="1187"/>
      <c r="AZ141" s="1187"/>
      <c r="BA141" s="1187"/>
      <c r="BC141" s="1187"/>
      <c r="BE141" s="1187"/>
      <c r="BF141" s="1187"/>
      <c r="BG141" s="1187"/>
    </row>
    <row r="142" spans="18:59" x14ac:dyDescent="0.3">
      <c r="R142" s="1187"/>
      <c r="S142" s="1187"/>
      <c r="W142" s="1187"/>
      <c r="X142" s="1187"/>
      <c r="AE142" s="1187"/>
      <c r="AF142" s="1187"/>
      <c r="AV142" s="1187"/>
      <c r="AW142" s="1187"/>
      <c r="AX142" s="1187"/>
      <c r="AY142" s="1187"/>
      <c r="AZ142" s="1187"/>
      <c r="BA142" s="1187"/>
      <c r="BC142" s="1187"/>
      <c r="BE142" s="1187"/>
      <c r="BF142" s="1187"/>
      <c r="BG142" s="1187"/>
    </row>
    <row r="143" spans="18:59" x14ac:dyDescent="0.3">
      <c r="R143" s="1187"/>
      <c r="S143" s="1187"/>
      <c r="W143" s="1187"/>
      <c r="X143" s="1187"/>
      <c r="AE143" s="1187"/>
      <c r="AF143" s="1187"/>
      <c r="AV143" s="1187"/>
      <c r="AW143" s="1187"/>
      <c r="AX143" s="1187"/>
      <c r="AY143" s="1187"/>
      <c r="AZ143" s="1187"/>
      <c r="BA143" s="1187"/>
      <c r="BC143" s="1187"/>
      <c r="BE143" s="1187"/>
      <c r="BF143" s="1187"/>
      <c r="BG143" s="1187"/>
    </row>
    <row r="144" spans="18:59" x14ac:dyDescent="0.3">
      <c r="R144" s="1187"/>
      <c r="S144" s="1187"/>
      <c r="W144" s="1187"/>
      <c r="X144" s="1187"/>
      <c r="AE144" s="1187"/>
      <c r="AF144" s="1187"/>
      <c r="AV144" s="1187"/>
      <c r="AW144" s="1187"/>
      <c r="AX144" s="1187"/>
      <c r="AY144" s="1187"/>
      <c r="AZ144" s="1187"/>
      <c r="BA144" s="1187"/>
      <c r="BC144" s="1187"/>
      <c r="BE144" s="1187"/>
      <c r="BF144" s="1187"/>
      <c r="BG144" s="1187"/>
    </row>
    <row r="145" spans="18:59" x14ac:dyDescent="0.3">
      <c r="R145" s="1187"/>
      <c r="S145" s="1187"/>
      <c r="W145" s="1187"/>
      <c r="X145" s="1187"/>
      <c r="AE145" s="1187"/>
      <c r="AF145" s="1187"/>
      <c r="AV145" s="1187"/>
      <c r="AW145" s="1187"/>
      <c r="AX145" s="1187"/>
      <c r="AY145" s="1187"/>
      <c r="AZ145" s="1187"/>
      <c r="BA145" s="1187"/>
      <c r="BC145" s="1187"/>
      <c r="BE145" s="1187"/>
      <c r="BF145" s="1187"/>
      <c r="BG145" s="1187"/>
    </row>
    <row r="146" spans="18:59" x14ac:dyDescent="0.3">
      <c r="R146" s="1187"/>
      <c r="S146" s="1187"/>
      <c r="W146" s="1187"/>
      <c r="X146" s="1187"/>
      <c r="AE146" s="1187"/>
      <c r="AF146" s="1187"/>
      <c r="AV146" s="1187"/>
      <c r="AW146" s="1187"/>
      <c r="AX146" s="1187"/>
      <c r="AY146" s="1187"/>
      <c r="AZ146" s="1187"/>
      <c r="BA146" s="1187"/>
      <c r="BC146" s="1187"/>
      <c r="BE146" s="1187"/>
      <c r="BF146" s="1187"/>
      <c r="BG146" s="1187"/>
    </row>
    <row r="147" spans="18:59" x14ac:dyDescent="0.3">
      <c r="R147" s="1187"/>
      <c r="S147" s="1187"/>
      <c r="W147" s="1187"/>
      <c r="X147" s="1187"/>
      <c r="AE147" s="1187"/>
      <c r="AF147" s="1187"/>
      <c r="AV147" s="1187"/>
      <c r="AW147" s="1187"/>
      <c r="AX147" s="1187"/>
      <c r="AY147" s="1187"/>
      <c r="AZ147" s="1187"/>
      <c r="BA147" s="1187"/>
      <c r="BC147" s="1187"/>
      <c r="BE147" s="1187"/>
      <c r="BF147" s="1187"/>
      <c r="BG147" s="1187"/>
    </row>
    <row r="148" spans="18:59" x14ac:dyDescent="0.3">
      <c r="R148" s="1187"/>
      <c r="S148" s="1187"/>
      <c r="W148" s="1187"/>
      <c r="X148" s="1187"/>
      <c r="AE148" s="1187"/>
      <c r="AF148" s="1187"/>
      <c r="AV148" s="1187"/>
      <c r="AW148" s="1187"/>
      <c r="AX148" s="1187"/>
      <c r="AY148" s="1187"/>
      <c r="AZ148" s="1187"/>
      <c r="BA148" s="1187"/>
      <c r="BC148" s="1187"/>
      <c r="BE148" s="1187"/>
      <c r="BF148" s="1187"/>
      <c r="BG148" s="1187"/>
    </row>
    <row r="149" spans="18:59" x14ac:dyDescent="0.3">
      <c r="R149" s="1187"/>
      <c r="S149" s="1187"/>
      <c r="W149" s="1187"/>
      <c r="X149" s="1187"/>
      <c r="AE149" s="1187"/>
      <c r="AF149" s="1187"/>
      <c r="AV149" s="1187"/>
      <c r="AW149" s="1187"/>
      <c r="AX149" s="1187"/>
      <c r="AY149" s="1187"/>
      <c r="AZ149" s="1187"/>
      <c r="BA149" s="1187"/>
      <c r="BC149" s="1187"/>
      <c r="BE149" s="1187"/>
      <c r="BF149" s="1187"/>
      <c r="BG149" s="1187"/>
    </row>
    <row r="150" spans="18:59" x14ac:dyDescent="0.3">
      <c r="R150" s="1187"/>
      <c r="S150" s="1187"/>
      <c r="W150" s="1187"/>
      <c r="X150" s="1187"/>
      <c r="AE150" s="1187"/>
      <c r="AF150" s="1187"/>
      <c r="AV150" s="1187"/>
      <c r="AW150" s="1187"/>
      <c r="AX150" s="1187"/>
      <c r="AY150" s="1187"/>
      <c r="AZ150" s="1187"/>
      <c r="BA150" s="1187"/>
      <c r="BC150" s="1187"/>
      <c r="BE150" s="1187"/>
      <c r="BF150" s="1187"/>
      <c r="BG150" s="1187"/>
    </row>
    <row r="151" spans="18:59" x14ac:dyDescent="0.3">
      <c r="R151" s="1187"/>
      <c r="S151" s="1187"/>
      <c r="W151" s="1187"/>
      <c r="X151" s="1187"/>
      <c r="AE151" s="1187"/>
      <c r="AF151" s="1187"/>
      <c r="AV151" s="1187"/>
      <c r="AW151" s="1187"/>
      <c r="AX151" s="1187"/>
      <c r="AY151" s="1187"/>
      <c r="AZ151" s="1187"/>
      <c r="BA151" s="1187"/>
      <c r="BC151" s="1187"/>
      <c r="BE151" s="1187"/>
      <c r="BF151" s="1187"/>
      <c r="BG151" s="1187"/>
    </row>
    <row r="152" spans="18:59" x14ac:dyDescent="0.3">
      <c r="R152" s="1187"/>
      <c r="S152" s="1187"/>
      <c r="W152" s="1187"/>
      <c r="X152" s="1187"/>
      <c r="AE152" s="1187"/>
      <c r="AF152" s="1187"/>
      <c r="AV152" s="1187"/>
      <c r="AW152" s="1187"/>
      <c r="AX152" s="1187"/>
      <c r="AY152" s="1187"/>
      <c r="AZ152" s="1187"/>
      <c r="BA152" s="1187"/>
      <c r="BC152" s="1187"/>
      <c r="BE152" s="1187"/>
      <c r="BF152" s="1187"/>
      <c r="BG152" s="1187"/>
    </row>
    <row r="153" spans="18:59" x14ac:dyDescent="0.3">
      <c r="R153" s="1187"/>
      <c r="S153" s="1187"/>
      <c r="W153" s="1187"/>
      <c r="X153" s="1187"/>
      <c r="AE153" s="1187"/>
      <c r="AF153" s="1187"/>
      <c r="AV153" s="1187"/>
      <c r="AW153" s="1187"/>
      <c r="AX153" s="1187"/>
      <c r="AY153" s="1187"/>
      <c r="AZ153" s="1187"/>
      <c r="BA153" s="1187"/>
      <c r="BC153" s="1187"/>
      <c r="BE153" s="1187"/>
      <c r="BF153" s="1187"/>
      <c r="BG153" s="1187"/>
    </row>
    <row r="154" spans="18:59" x14ac:dyDescent="0.3">
      <c r="R154" s="1187"/>
      <c r="S154" s="1187"/>
      <c r="W154" s="1187"/>
      <c r="X154" s="1187"/>
      <c r="AE154" s="1187"/>
      <c r="AF154" s="1187"/>
      <c r="AV154" s="1187"/>
      <c r="AW154" s="1187"/>
      <c r="AX154" s="1187"/>
      <c r="AY154" s="1187"/>
      <c r="AZ154" s="1187"/>
      <c r="BA154" s="1187"/>
      <c r="BC154" s="1187"/>
      <c r="BE154" s="1187"/>
      <c r="BF154" s="1187"/>
      <c r="BG154" s="1187"/>
    </row>
    <row r="155" spans="18:59" x14ac:dyDescent="0.3">
      <c r="R155" s="1187"/>
      <c r="S155" s="1187"/>
      <c r="W155" s="1187"/>
      <c r="X155" s="1187"/>
      <c r="AE155" s="1187"/>
      <c r="AF155" s="1187"/>
      <c r="AV155" s="1187"/>
      <c r="AW155" s="1187"/>
      <c r="AX155" s="1187"/>
      <c r="AY155" s="1187"/>
      <c r="AZ155" s="1187"/>
      <c r="BA155" s="1187"/>
      <c r="BC155" s="1187"/>
      <c r="BE155" s="1187"/>
      <c r="BF155" s="1187"/>
      <c r="BG155" s="1187"/>
    </row>
    <row r="156" spans="18:59" x14ac:dyDescent="0.3">
      <c r="R156" s="1187"/>
      <c r="S156" s="1187"/>
      <c r="W156" s="1187"/>
      <c r="X156" s="1187"/>
      <c r="AE156" s="1187"/>
      <c r="AF156" s="1187"/>
      <c r="AV156" s="1187"/>
      <c r="AW156" s="1187"/>
      <c r="AX156" s="1187"/>
      <c r="AY156" s="1187"/>
      <c r="AZ156" s="1187"/>
      <c r="BA156" s="1187"/>
      <c r="BC156" s="1187"/>
      <c r="BE156" s="1187"/>
      <c r="BF156" s="1187"/>
      <c r="BG156" s="1187"/>
    </row>
    <row r="157" spans="18:59" x14ac:dyDescent="0.3">
      <c r="R157" s="1187"/>
      <c r="S157" s="1187"/>
      <c r="W157" s="1187"/>
      <c r="X157" s="1187"/>
      <c r="AE157" s="1187"/>
      <c r="AF157" s="1187"/>
      <c r="AV157" s="1187"/>
      <c r="AW157" s="1187"/>
      <c r="AX157" s="1187"/>
      <c r="AY157" s="1187"/>
      <c r="AZ157" s="1187"/>
      <c r="BA157" s="1187"/>
      <c r="BC157" s="1187"/>
      <c r="BE157" s="1187"/>
      <c r="BF157" s="1187"/>
      <c r="BG157" s="1187"/>
    </row>
    <row r="158" spans="18:59" x14ac:dyDescent="0.3">
      <c r="R158" s="1187"/>
      <c r="S158" s="1187"/>
      <c r="W158" s="1187"/>
      <c r="X158" s="1187"/>
      <c r="AE158" s="1187"/>
      <c r="AF158" s="1187"/>
      <c r="AV158" s="1187"/>
      <c r="AW158" s="1187"/>
      <c r="AX158" s="1187"/>
      <c r="AY158" s="1187"/>
      <c r="AZ158" s="1187"/>
      <c r="BA158" s="1187"/>
      <c r="BC158" s="1187"/>
      <c r="BE158" s="1187"/>
      <c r="BF158" s="1187"/>
      <c r="BG158" s="1187"/>
    </row>
    <row r="159" spans="18:59" x14ac:dyDescent="0.3">
      <c r="R159" s="1187"/>
      <c r="S159" s="1187"/>
      <c r="W159" s="1187"/>
      <c r="X159" s="1187"/>
      <c r="AE159" s="1187"/>
      <c r="AF159" s="1187"/>
      <c r="AV159" s="1187"/>
      <c r="AW159" s="1187"/>
      <c r="AX159" s="1187"/>
      <c r="AY159" s="1187"/>
      <c r="AZ159" s="1187"/>
      <c r="BA159" s="1187"/>
      <c r="BC159" s="1187"/>
      <c r="BE159" s="1187"/>
      <c r="BF159" s="1187"/>
      <c r="BG159" s="1187"/>
    </row>
    <row r="160" spans="18:59" x14ac:dyDescent="0.3">
      <c r="R160" s="1187"/>
      <c r="S160" s="1187"/>
      <c r="W160" s="1187"/>
      <c r="X160" s="1187"/>
      <c r="AE160" s="1187"/>
      <c r="AF160" s="1187"/>
      <c r="AV160" s="1187"/>
      <c r="AW160" s="1187"/>
      <c r="AX160" s="1187"/>
      <c r="AY160" s="1187"/>
      <c r="AZ160" s="1187"/>
      <c r="BA160" s="1187"/>
      <c r="BC160" s="1187"/>
      <c r="BE160" s="1187"/>
      <c r="BF160" s="1187"/>
      <c r="BG160" s="1187"/>
    </row>
    <row r="161" spans="18:59" x14ac:dyDescent="0.3">
      <c r="R161" s="1187"/>
      <c r="S161" s="1187"/>
      <c r="W161" s="1187"/>
      <c r="X161" s="1187"/>
      <c r="AE161" s="1187"/>
      <c r="AF161" s="1187"/>
      <c r="AV161" s="1187"/>
      <c r="AW161" s="1187"/>
      <c r="AX161" s="1187"/>
      <c r="AY161" s="1187"/>
      <c r="AZ161" s="1187"/>
      <c r="BA161" s="1187"/>
      <c r="BC161" s="1187"/>
      <c r="BE161" s="1187"/>
      <c r="BF161" s="1187"/>
      <c r="BG161" s="1187"/>
    </row>
    <row r="162" spans="18:59" x14ac:dyDescent="0.3">
      <c r="R162" s="1187"/>
      <c r="S162" s="1187"/>
      <c r="W162" s="1187"/>
      <c r="X162" s="1187"/>
      <c r="AE162" s="1187"/>
      <c r="AF162" s="1187"/>
      <c r="AV162" s="1187"/>
      <c r="AW162" s="1187"/>
      <c r="AX162" s="1187"/>
      <c r="AY162" s="1187"/>
      <c r="AZ162" s="1187"/>
      <c r="BA162" s="1187"/>
      <c r="BC162" s="1187"/>
      <c r="BE162" s="1187"/>
      <c r="BF162" s="1187"/>
      <c r="BG162" s="1187"/>
    </row>
    <row r="163" spans="18:59" x14ac:dyDescent="0.3">
      <c r="R163" s="1187"/>
      <c r="S163" s="1187"/>
      <c r="W163" s="1187"/>
      <c r="X163" s="1187"/>
      <c r="AE163" s="1187"/>
      <c r="AF163" s="1187"/>
      <c r="AV163" s="1187"/>
      <c r="AW163" s="1187"/>
      <c r="AX163" s="1187"/>
      <c r="AY163" s="1187"/>
      <c r="AZ163" s="1187"/>
      <c r="BA163" s="1187"/>
      <c r="BC163" s="1187"/>
      <c r="BE163" s="1187"/>
      <c r="BF163" s="1187"/>
      <c r="BG163" s="1187"/>
    </row>
    <row r="164" spans="18:59" x14ac:dyDescent="0.3">
      <c r="R164" s="1187"/>
      <c r="S164" s="1187"/>
      <c r="W164" s="1187"/>
      <c r="X164" s="1187"/>
      <c r="AE164" s="1187"/>
      <c r="AF164" s="1187"/>
      <c r="AV164" s="1187"/>
      <c r="AW164" s="1187"/>
      <c r="AX164" s="1187"/>
      <c r="AY164" s="1187"/>
      <c r="AZ164" s="1187"/>
      <c r="BA164" s="1187"/>
      <c r="BC164" s="1187"/>
      <c r="BE164" s="1187"/>
      <c r="BF164" s="1187"/>
      <c r="BG164" s="1187"/>
    </row>
    <row r="165" spans="18:59" x14ac:dyDescent="0.3">
      <c r="R165" s="1187"/>
      <c r="S165" s="1187"/>
      <c r="W165" s="1187"/>
      <c r="X165" s="1187"/>
      <c r="AE165" s="1187"/>
      <c r="AF165" s="1187"/>
      <c r="AV165" s="1187"/>
      <c r="AW165" s="1187"/>
      <c r="AX165" s="1187"/>
      <c r="AY165" s="1187"/>
      <c r="AZ165" s="1187"/>
      <c r="BA165" s="1187"/>
      <c r="BC165" s="1187"/>
      <c r="BE165" s="1187"/>
      <c r="BF165" s="1187"/>
      <c r="BG165" s="1187"/>
    </row>
    <row r="166" spans="18:59" x14ac:dyDescent="0.3">
      <c r="R166" s="1187"/>
      <c r="S166" s="1187"/>
      <c r="W166" s="1187"/>
      <c r="X166" s="1187"/>
      <c r="AE166" s="1187"/>
      <c r="AF166" s="1187"/>
      <c r="AV166" s="1187"/>
      <c r="AW166" s="1187"/>
      <c r="AX166" s="1187"/>
      <c r="AY166" s="1187"/>
      <c r="AZ166" s="1187"/>
      <c r="BA166" s="1187"/>
      <c r="BC166" s="1187"/>
      <c r="BE166" s="1187"/>
      <c r="BF166" s="1187"/>
      <c r="BG166" s="1187"/>
    </row>
    <row r="167" spans="18:59" x14ac:dyDescent="0.3">
      <c r="R167" s="1187"/>
      <c r="S167" s="1187"/>
      <c r="W167" s="1187"/>
      <c r="X167" s="1187"/>
      <c r="AE167" s="1187"/>
      <c r="AF167" s="1187"/>
      <c r="AV167" s="1187"/>
      <c r="AW167" s="1187"/>
      <c r="AX167" s="1187"/>
      <c r="AY167" s="1187"/>
      <c r="AZ167" s="1187"/>
      <c r="BA167" s="1187"/>
      <c r="BC167" s="1187"/>
      <c r="BE167" s="1187"/>
      <c r="BF167" s="1187"/>
      <c r="BG167" s="1187"/>
    </row>
    <row r="168" spans="18:59" x14ac:dyDescent="0.3">
      <c r="R168" s="1187"/>
      <c r="S168" s="1187"/>
      <c r="W168" s="1187"/>
      <c r="X168" s="1187"/>
      <c r="AE168" s="1187"/>
      <c r="AF168" s="1187"/>
      <c r="AV168" s="1187"/>
      <c r="AW168" s="1187"/>
      <c r="AX168" s="1187"/>
      <c r="AY168" s="1187"/>
      <c r="AZ168" s="1187"/>
      <c r="BA168" s="1187"/>
      <c r="BC168" s="1187"/>
      <c r="BE168" s="1187"/>
      <c r="BF168" s="1187"/>
      <c r="BG168" s="1187"/>
    </row>
    <row r="169" spans="18:59" x14ac:dyDescent="0.3">
      <c r="R169" s="1187"/>
      <c r="S169" s="1187"/>
      <c r="W169" s="1187"/>
      <c r="X169" s="1187"/>
      <c r="AE169" s="1187"/>
      <c r="AF169" s="1187"/>
      <c r="AV169" s="1187"/>
      <c r="AW169" s="1187"/>
      <c r="AX169" s="1187"/>
      <c r="AY169" s="1187"/>
      <c r="AZ169" s="1187"/>
      <c r="BA169" s="1187"/>
      <c r="BC169" s="1187"/>
      <c r="BE169" s="1187"/>
      <c r="BF169" s="1187"/>
      <c r="BG169" s="1187"/>
    </row>
    <row r="170" spans="18:59" x14ac:dyDescent="0.3">
      <c r="R170" s="1187"/>
      <c r="S170" s="1187"/>
      <c r="W170" s="1187"/>
      <c r="X170" s="1187"/>
      <c r="AE170" s="1187"/>
      <c r="AF170" s="1187"/>
      <c r="AV170" s="1187"/>
      <c r="AW170" s="1187"/>
      <c r="AX170" s="1187"/>
      <c r="AY170" s="1187"/>
      <c r="AZ170" s="1187"/>
      <c r="BA170" s="1187"/>
      <c r="BC170" s="1187"/>
      <c r="BE170" s="1187"/>
      <c r="BF170" s="1187"/>
      <c r="BG170" s="1187"/>
    </row>
    <row r="171" spans="18:59" x14ac:dyDescent="0.3">
      <c r="R171" s="1187"/>
      <c r="S171" s="1187"/>
      <c r="W171" s="1187"/>
      <c r="X171" s="1187"/>
      <c r="AE171" s="1187"/>
      <c r="AF171" s="1187"/>
      <c r="AV171" s="1187"/>
      <c r="AW171" s="1187"/>
      <c r="AX171" s="1187"/>
      <c r="AY171" s="1187"/>
      <c r="AZ171" s="1187"/>
      <c r="BA171" s="1187"/>
      <c r="BC171" s="1187"/>
      <c r="BE171" s="1187"/>
      <c r="BF171" s="1187"/>
      <c r="BG171" s="1187"/>
    </row>
    <row r="172" spans="18:59" x14ac:dyDescent="0.3">
      <c r="R172" s="1187"/>
      <c r="S172" s="1187"/>
      <c r="W172" s="1187"/>
      <c r="X172" s="1187"/>
      <c r="AE172" s="1187"/>
      <c r="AF172" s="1187"/>
      <c r="AV172" s="1187"/>
      <c r="AW172" s="1187"/>
      <c r="AX172" s="1187"/>
      <c r="AY172" s="1187"/>
      <c r="AZ172" s="1187"/>
      <c r="BA172" s="1187"/>
      <c r="BC172" s="1187"/>
      <c r="BE172" s="1187"/>
      <c r="BF172" s="1187"/>
      <c r="BG172" s="1187"/>
    </row>
    <row r="173" spans="18:59" x14ac:dyDescent="0.3">
      <c r="R173" s="1187"/>
      <c r="S173" s="1187"/>
      <c r="W173" s="1187"/>
      <c r="X173" s="1187"/>
      <c r="AE173" s="1187"/>
      <c r="AF173" s="1187"/>
      <c r="AV173" s="1187"/>
      <c r="AW173" s="1187"/>
      <c r="AX173" s="1187"/>
      <c r="AY173" s="1187"/>
      <c r="AZ173" s="1187"/>
      <c r="BA173" s="1187"/>
      <c r="BC173" s="1187"/>
      <c r="BE173" s="1187"/>
      <c r="BF173" s="1187"/>
      <c r="BG173" s="1187"/>
    </row>
    <row r="174" spans="18:59" x14ac:dyDescent="0.3">
      <c r="R174" s="1187"/>
      <c r="S174" s="1187"/>
      <c r="W174" s="1187"/>
      <c r="X174" s="1187"/>
      <c r="AE174" s="1187"/>
      <c r="AF174" s="1187"/>
      <c r="AV174" s="1187"/>
      <c r="AW174" s="1187"/>
      <c r="AX174" s="1187"/>
      <c r="AY174" s="1187"/>
      <c r="AZ174" s="1187"/>
      <c r="BA174" s="1187"/>
      <c r="BC174" s="1187"/>
      <c r="BE174" s="1187"/>
      <c r="BF174" s="1187"/>
      <c r="BG174" s="1187"/>
    </row>
    <row r="175" spans="18:59" x14ac:dyDescent="0.3">
      <c r="R175" s="1187"/>
      <c r="S175" s="1187"/>
      <c r="W175" s="1187"/>
      <c r="X175" s="1187"/>
      <c r="AE175" s="1187"/>
      <c r="AF175" s="1187"/>
      <c r="AV175" s="1187"/>
      <c r="AW175" s="1187"/>
      <c r="AX175" s="1187"/>
      <c r="AY175" s="1187"/>
      <c r="AZ175" s="1187"/>
      <c r="BA175" s="1187"/>
      <c r="BC175" s="1187"/>
      <c r="BE175" s="1187"/>
      <c r="BF175" s="1187"/>
      <c r="BG175" s="1187"/>
    </row>
    <row r="176" spans="18:59" x14ac:dyDescent="0.3">
      <c r="R176" s="1187"/>
      <c r="S176" s="1187"/>
      <c r="W176" s="1187"/>
      <c r="X176" s="1187"/>
      <c r="AE176" s="1187"/>
      <c r="AF176" s="1187"/>
      <c r="AV176" s="1187"/>
      <c r="AW176" s="1187"/>
      <c r="AX176" s="1187"/>
      <c r="AY176" s="1187"/>
      <c r="AZ176" s="1187"/>
      <c r="BA176" s="1187"/>
      <c r="BC176" s="1187"/>
      <c r="BE176" s="1187"/>
      <c r="BF176" s="1187"/>
      <c r="BG176" s="1187"/>
    </row>
    <row r="177" spans="18:59" x14ac:dyDescent="0.3">
      <c r="R177" s="1187"/>
      <c r="S177" s="1187"/>
      <c r="W177" s="1187"/>
      <c r="X177" s="1187"/>
      <c r="AE177" s="1187"/>
      <c r="AF177" s="1187"/>
      <c r="AV177" s="1187"/>
      <c r="AW177" s="1187"/>
      <c r="AX177" s="1187"/>
      <c r="AY177" s="1187"/>
      <c r="AZ177" s="1187"/>
      <c r="BA177" s="1187"/>
      <c r="BC177" s="1187"/>
      <c r="BE177" s="1187"/>
      <c r="BF177" s="1187"/>
      <c r="BG177" s="1187"/>
    </row>
    <row r="178" spans="18:59" x14ac:dyDescent="0.3">
      <c r="R178" s="1187"/>
      <c r="S178" s="1187"/>
      <c r="W178" s="1187"/>
      <c r="X178" s="1187"/>
      <c r="AE178" s="1187"/>
      <c r="AF178" s="1187"/>
      <c r="AV178" s="1187"/>
      <c r="AW178" s="1187"/>
      <c r="AX178" s="1187"/>
      <c r="AY178" s="1187"/>
      <c r="AZ178" s="1187"/>
      <c r="BA178" s="1187"/>
      <c r="BC178" s="1187"/>
      <c r="BE178" s="1187"/>
      <c r="BF178" s="1187"/>
      <c r="BG178" s="1187"/>
    </row>
    <row r="179" spans="18:59" x14ac:dyDescent="0.3">
      <c r="R179" s="1187"/>
      <c r="S179" s="1187"/>
      <c r="W179" s="1187"/>
      <c r="X179" s="1187"/>
      <c r="AE179" s="1187"/>
      <c r="AF179" s="1187"/>
      <c r="AV179" s="1187"/>
      <c r="AW179" s="1187"/>
      <c r="AX179" s="1187"/>
      <c r="AY179" s="1187"/>
      <c r="AZ179" s="1187"/>
      <c r="BA179" s="1187"/>
      <c r="BC179" s="1187"/>
      <c r="BE179" s="1187"/>
      <c r="BF179" s="1187"/>
      <c r="BG179" s="1187"/>
    </row>
    <row r="180" spans="18:59" x14ac:dyDescent="0.3">
      <c r="R180" s="1187"/>
      <c r="S180" s="1187"/>
      <c r="W180" s="1187"/>
      <c r="X180" s="1187"/>
      <c r="AE180" s="1187"/>
      <c r="AF180" s="1187"/>
      <c r="AV180" s="1187"/>
      <c r="AW180" s="1187"/>
      <c r="AX180" s="1187"/>
      <c r="AY180" s="1187"/>
      <c r="AZ180" s="1187"/>
      <c r="BA180" s="1187"/>
      <c r="BC180" s="1187"/>
      <c r="BE180" s="1187"/>
      <c r="BF180" s="1187"/>
      <c r="BG180" s="1187"/>
    </row>
    <row r="181" spans="18:59" x14ac:dyDescent="0.3">
      <c r="R181" s="1187"/>
      <c r="S181" s="1187"/>
      <c r="W181" s="1187"/>
      <c r="X181" s="1187"/>
      <c r="AE181" s="1187"/>
      <c r="AF181" s="1187"/>
      <c r="AV181" s="1187"/>
      <c r="AW181" s="1187"/>
      <c r="AX181" s="1187"/>
      <c r="AY181" s="1187"/>
      <c r="AZ181" s="1187"/>
      <c r="BA181" s="1187"/>
      <c r="BC181" s="1187"/>
      <c r="BE181" s="1187"/>
      <c r="BF181" s="1187"/>
      <c r="BG181" s="1187"/>
    </row>
    <row r="182" spans="18:59" x14ac:dyDescent="0.3">
      <c r="R182" s="1187"/>
      <c r="S182" s="1187"/>
      <c r="W182" s="1187"/>
      <c r="X182" s="1187"/>
      <c r="AE182" s="1187"/>
      <c r="AF182" s="1187"/>
      <c r="AV182" s="1187"/>
      <c r="AW182" s="1187"/>
      <c r="AX182" s="1187"/>
      <c r="AY182" s="1187"/>
      <c r="AZ182" s="1187"/>
      <c r="BA182" s="1187"/>
      <c r="BC182" s="1187"/>
      <c r="BE182" s="1187"/>
      <c r="BF182" s="1187"/>
      <c r="BG182" s="1187"/>
    </row>
    <row r="183" spans="18:59" x14ac:dyDescent="0.3">
      <c r="R183" s="1187"/>
      <c r="S183" s="1187"/>
      <c r="W183" s="1187"/>
      <c r="X183" s="1187"/>
      <c r="AE183" s="1187"/>
      <c r="AF183" s="1187"/>
      <c r="AV183" s="1187"/>
      <c r="AW183" s="1187"/>
      <c r="AX183" s="1187"/>
      <c r="AY183" s="1187"/>
      <c r="AZ183" s="1187"/>
      <c r="BA183" s="1187"/>
      <c r="BC183" s="1187"/>
      <c r="BE183" s="1187"/>
      <c r="BF183" s="1187"/>
      <c r="BG183" s="1187"/>
    </row>
    <row r="184" spans="18:59" x14ac:dyDescent="0.3">
      <c r="R184" s="1187"/>
      <c r="S184" s="1187"/>
      <c r="W184" s="1187"/>
      <c r="X184" s="1187"/>
      <c r="AE184" s="1187"/>
      <c r="AF184" s="1187"/>
      <c r="AV184" s="1187"/>
      <c r="AW184" s="1187"/>
      <c r="AX184" s="1187"/>
      <c r="AY184" s="1187"/>
      <c r="AZ184" s="1187"/>
      <c r="BA184" s="1187"/>
      <c r="BC184" s="1187"/>
      <c r="BE184" s="1187"/>
      <c r="BF184" s="1187"/>
      <c r="BG184" s="1187"/>
    </row>
    <row r="185" spans="18:59" x14ac:dyDescent="0.3">
      <c r="R185" s="1187"/>
      <c r="S185" s="1187"/>
      <c r="W185" s="1187"/>
      <c r="X185" s="1187"/>
      <c r="AE185" s="1187"/>
      <c r="AF185" s="1187"/>
      <c r="AV185" s="1187"/>
      <c r="AW185" s="1187"/>
      <c r="AX185" s="1187"/>
      <c r="AY185" s="1187"/>
      <c r="AZ185" s="1187"/>
      <c r="BA185" s="1187"/>
      <c r="BC185" s="1187"/>
      <c r="BE185" s="1187"/>
      <c r="BF185" s="1187"/>
      <c r="BG185" s="1187"/>
    </row>
    <row r="186" spans="18:59" x14ac:dyDescent="0.3">
      <c r="R186" s="1187"/>
      <c r="S186" s="1187"/>
      <c r="W186" s="1187"/>
      <c r="X186" s="1187"/>
      <c r="AE186" s="1187"/>
      <c r="AF186" s="1187"/>
      <c r="AV186" s="1187"/>
      <c r="AW186" s="1187"/>
      <c r="AX186" s="1187"/>
      <c r="AY186" s="1187"/>
      <c r="AZ186" s="1187"/>
      <c r="BA186" s="1187"/>
      <c r="BC186" s="1187"/>
      <c r="BE186" s="1187"/>
      <c r="BF186" s="1187"/>
      <c r="BG186" s="1187"/>
    </row>
    <row r="187" spans="18:59" x14ac:dyDescent="0.3">
      <c r="R187" s="1187"/>
      <c r="S187" s="1187"/>
      <c r="W187" s="1187"/>
      <c r="X187" s="1187"/>
      <c r="AE187" s="1187"/>
      <c r="AF187" s="1187"/>
      <c r="AV187" s="1187"/>
      <c r="AW187" s="1187"/>
      <c r="AX187" s="1187"/>
      <c r="AY187" s="1187"/>
      <c r="AZ187" s="1187"/>
      <c r="BA187" s="1187"/>
      <c r="BC187" s="1187"/>
      <c r="BE187" s="1187"/>
      <c r="BF187" s="1187"/>
      <c r="BG187" s="1187"/>
    </row>
    <row r="188" spans="18:59" x14ac:dyDescent="0.3">
      <c r="R188" s="1187"/>
      <c r="S188" s="1187"/>
      <c r="W188" s="1187"/>
      <c r="X188" s="1187"/>
      <c r="AE188" s="1187"/>
      <c r="AF188" s="1187"/>
      <c r="AV188" s="1187"/>
      <c r="AW188" s="1187"/>
      <c r="AX188" s="1187"/>
      <c r="AY188" s="1187"/>
      <c r="AZ188" s="1187"/>
      <c r="BA188" s="1187"/>
      <c r="BC188" s="1187"/>
      <c r="BE188" s="1187"/>
      <c r="BF188" s="1187"/>
      <c r="BG188" s="1187"/>
    </row>
    <row r="189" spans="18:59" x14ac:dyDescent="0.3">
      <c r="R189" s="1187"/>
      <c r="S189" s="1187"/>
      <c r="W189" s="1187"/>
      <c r="X189" s="1187"/>
      <c r="AE189" s="1187"/>
      <c r="AF189" s="1187"/>
      <c r="AV189" s="1187"/>
      <c r="AW189" s="1187"/>
      <c r="AX189" s="1187"/>
      <c r="AY189" s="1187"/>
      <c r="AZ189" s="1187"/>
      <c r="BA189" s="1187"/>
      <c r="BC189" s="1187"/>
      <c r="BE189" s="1187"/>
      <c r="BF189" s="1187"/>
      <c r="BG189" s="1187"/>
    </row>
    <row r="190" spans="18:59" x14ac:dyDescent="0.3">
      <c r="R190" s="1187"/>
      <c r="S190" s="1187"/>
      <c r="W190" s="1187"/>
      <c r="X190" s="1187"/>
      <c r="AE190" s="1187"/>
      <c r="AF190" s="1187"/>
      <c r="AV190" s="1187"/>
      <c r="AW190" s="1187"/>
      <c r="AX190" s="1187"/>
      <c r="AY190" s="1187"/>
      <c r="AZ190" s="1187"/>
      <c r="BA190" s="1187"/>
      <c r="BC190" s="1187"/>
      <c r="BE190" s="1187"/>
      <c r="BF190" s="1187"/>
      <c r="BG190" s="1187"/>
    </row>
    <row r="191" spans="18:59" x14ac:dyDescent="0.3">
      <c r="R191" s="1187"/>
      <c r="S191" s="1187"/>
      <c r="W191" s="1187"/>
      <c r="X191" s="1187"/>
      <c r="AE191" s="1187"/>
      <c r="AF191" s="1187"/>
      <c r="AV191" s="1187"/>
      <c r="AW191" s="1187"/>
      <c r="AX191" s="1187"/>
      <c r="AY191" s="1187"/>
      <c r="AZ191" s="1187"/>
      <c r="BA191" s="1187"/>
      <c r="BC191" s="1187"/>
      <c r="BE191" s="1187"/>
      <c r="BF191" s="1187"/>
      <c r="BG191" s="1187"/>
    </row>
    <row r="192" spans="18:59" x14ac:dyDescent="0.3">
      <c r="R192" s="1187"/>
      <c r="S192" s="1187"/>
      <c r="W192" s="1187"/>
      <c r="X192" s="1187"/>
      <c r="AE192" s="1187"/>
      <c r="AF192" s="1187"/>
      <c r="AV192" s="1187"/>
      <c r="AW192" s="1187"/>
      <c r="AX192" s="1187"/>
      <c r="AY192" s="1187"/>
      <c r="AZ192" s="1187"/>
      <c r="BA192" s="1187"/>
      <c r="BC192" s="1187"/>
      <c r="BE192" s="1187"/>
      <c r="BF192" s="1187"/>
      <c r="BG192" s="1187"/>
    </row>
    <row r="193" spans="18:59" x14ac:dyDescent="0.3">
      <c r="R193" s="1187"/>
      <c r="S193" s="1187"/>
      <c r="W193" s="1187"/>
      <c r="X193" s="1187"/>
      <c r="AE193" s="1187"/>
      <c r="AF193" s="1187"/>
      <c r="AV193" s="1187"/>
      <c r="AW193" s="1187"/>
      <c r="AX193" s="1187"/>
      <c r="AY193" s="1187"/>
      <c r="AZ193" s="1187"/>
      <c r="BA193" s="1187"/>
      <c r="BC193" s="1187"/>
      <c r="BE193" s="1187"/>
      <c r="BF193" s="1187"/>
      <c r="BG193" s="1187"/>
    </row>
    <row r="194" spans="18:59" x14ac:dyDescent="0.3">
      <c r="R194" s="1187"/>
      <c r="S194" s="1187"/>
      <c r="W194" s="1187"/>
      <c r="X194" s="1187"/>
      <c r="AE194" s="1187"/>
      <c r="AF194" s="1187"/>
      <c r="AV194" s="1187"/>
      <c r="AW194" s="1187"/>
      <c r="AX194" s="1187"/>
      <c r="AY194" s="1187"/>
      <c r="AZ194" s="1187"/>
      <c r="BA194" s="1187"/>
      <c r="BC194" s="1187"/>
      <c r="BE194" s="1187"/>
      <c r="BF194" s="1187"/>
      <c r="BG194" s="1187"/>
    </row>
    <row r="195" spans="18:59" x14ac:dyDescent="0.3">
      <c r="R195" s="1187"/>
      <c r="S195" s="1187"/>
      <c r="W195" s="1187"/>
      <c r="X195" s="1187"/>
      <c r="AE195" s="1187"/>
      <c r="AF195" s="1187"/>
      <c r="AV195" s="1187"/>
      <c r="AW195" s="1187"/>
      <c r="AX195" s="1187"/>
      <c r="AY195" s="1187"/>
      <c r="AZ195" s="1187"/>
      <c r="BA195" s="1187"/>
      <c r="BC195" s="1187"/>
      <c r="BE195" s="1187"/>
      <c r="BF195" s="1187"/>
      <c r="BG195" s="1187"/>
    </row>
    <row r="196" spans="18:59" x14ac:dyDescent="0.3">
      <c r="R196" s="1187"/>
      <c r="S196" s="1187"/>
      <c r="W196" s="1187"/>
      <c r="X196" s="1187"/>
      <c r="AE196" s="1187"/>
      <c r="AF196" s="1187"/>
      <c r="AV196" s="1187"/>
      <c r="AW196" s="1187"/>
      <c r="AX196" s="1187"/>
      <c r="AY196" s="1187"/>
      <c r="AZ196" s="1187"/>
      <c r="BA196" s="1187"/>
      <c r="BC196" s="1187"/>
      <c r="BE196" s="1187"/>
      <c r="BF196" s="1187"/>
      <c r="BG196" s="1187"/>
    </row>
    <row r="197" spans="18:59" x14ac:dyDescent="0.3">
      <c r="R197" s="1187"/>
      <c r="S197" s="1187"/>
      <c r="W197" s="1187"/>
      <c r="X197" s="1187"/>
      <c r="AE197" s="1187"/>
      <c r="AF197" s="1187"/>
      <c r="AV197" s="1187"/>
      <c r="AW197" s="1187"/>
      <c r="AX197" s="1187"/>
      <c r="AY197" s="1187"/>
      <c r="AZ197" s="1187"/>
      <c r="BA197" s="1187"/>
      <c r="BC197" s="1187"/>
      <c r="BE197" s="1187"/>
      <c r="BF197" s="1187"/>
      <c r="BG197" s="1187"/>
    </row>
    <row r="198" spans="18:59" x14ac:dyDescent="0.3">
      <c r="R198" s="1187"/>
      <c r="S198" s="1187"/>
      <c r="W198" s="1187"/>
      <c r="X198" s="1187"/>
      <c r="AE198" s="1187"/>
      <c r="AF198" s="1187"/>
      <c r="AV198" s="1187"/>
      <c r="AW198" s="1187"/>
      <c r="AX198" s="1187"/>
      <c r="AY198" s="1187"/>
      <c r="AZ198" s="1187"/>
      <c r="BA198" s="1187"/>
      <c r="BC198" s="1187"/>
      <c r="BE198" s="1187"/>
      <c r="BF198" s="1187"/>
      <c r="BG198" s="1187"/>
    </row>
    <row r="199" spans="18:59" x14ac:dyDescent="0.3">
      <c r="R199" s="1187"/>
      <c r="S199" s="1187"/>
      <c r="W199" s="1187"/>
      <c r="X199" s="1187"/>
      <c r="AE199" s="1187"/>
      <c r="AF199" s="1187"/>
      <c r="AV199" s="1187"/>
      <c r="AW199" s="1187"/>
      <c r="AX199" s="1187"/>
      <c r="AY199" s="1187"/>
      <c r="AZ199" s="1187"/>
      <c r="BA199" s="1187"/>
      <c r="BC199" s="1187"/>
      <c r="BE199" s="1187"/>
      <c r="BF199" s="1187"/>
      <c r="BG199" s="1187"/>
    </row>
    <row r="200" spans="18:59" x14ac:dyDescent="0.3">
      <c r="R200" s="1187"/>
      <c r="S200" s="1187"/>
      <c r="W200" s="1187"/>
      <c r="X200" s="1187"/>
      <c r="AE200" s="1187"/>
      <c r="AF200" s="1187"/>
      <c r="AV200" s="1187"/>
      <c r="AW200" s="1187"/>
      <c r="AX200" s="1187"/>
      <c r="AY200" s="1187"/>
      <c r="AZ200" s="1187"/>
      <c r="BA200" s="1187"/>
      <c r="BC200" s="1187"/>
      <c r="BE200" s="1187"/>
      <c r="BF200" s="1187"/>
      <c r="BG200" s="1187"/>
    </row>
    <row r="201" spans="18:59" x14ac:dyDescent="0.3">
      <c r="R201" s="1187"/>
      <c r="S201" s="1187"/>
      <c r="W201" s="1187"/>
      <c r="X201" s="1187"/>
      <c r="AE201" s="1187"/>
      <c r="AF201" s="1187"/>
      <c r="AV201" s="1187"/>
      <c r="AW201" s="1187"/>
      <c r="AX201" s="1187"/>
      <c r="AY201" s="1187"/>
      <c r="AZ201" s="1187"/>
      <c r="BA201" s="1187"/>
      <c r="BC201" s="1187"/>
      <c r="BE201" s="1187"/>
      <c r="BF201" s="1187"/>
      <c r="BG201" s="1187"/>
    </row>
    <row r="202" spans="18:59" x14ac:dyDescent="0.3">
      <c r="R202" s="1187"/>
      <c r="S202" s="1187"/>
      <c r="W202" s="1187"/>
      <c r="X202" s="1187"/>
      <c r="AE202" s="1187"/>
      <c r="AF202" s="1187"/>
      <c r="AV202" s="1187"/>
      <c r="AW202" s="1187"/>
      <c r="AX202" s="1187"/>
      <c r="AY202" s="1187"/>
      <c r="AZ202" s="1187"/>
      <c r="BA202" s="1187"/>
      <c r="BC202" s="1187"/>
      <c r="BE202" s="1187"/>
      <c r="BF202" s="1187"/>
      <c r="BG202" s="1187"/>
    </row>
    <row r="203" spans="18:59" x14ac:dyDescent="0.3">
      <c r="R203" s="1187"/>
      <c r="S203" s="1187"/>
      <c r="W203" s="1187"/>
      <c r="X203" s="1187"/>
      <c r="AE203" s="1187"/>
      <c r="AF203" s="1187"/>
      <c r="AV203" s="1187"/>
      <c r="AW203" s="1187"/>
      <c r="AX203" s="1187"/>
      <c r="AY203" s="1187"/>
      <c r="AZ203" s="1187"/>
      <c r="BA203" s="1187"/>
      <c r="BC203" s="1187"/>
      <c r="BE203" s="1187"/>
      <c r="BF203" s="1187"/>
      <c r="BG203" s="1187"/>
    </row>
    <row r="204" spans="18:59" x14ac:dyDescent="0.3">
      <c r="R204" s="1187"/>
      <c r="S204" s="1187"/>
      <c r="W204" s="1187"/>
      <c r="X204" s="1187"/>
      <c r="AE204" s="1187"/>
      <c r="AF204" s="1187"/>
      <c r="AV204" s="1187"/>
      <c r="AW204" s="1187"/>
      <c r="AX204" s="1187"/>
      <c r="AY204" s="1187"/>
      <c r="AZ204" s="1187"/>
      <c r="BA204" s="1187"/>
      <c r="BC204" s="1187"/>
      <c r="BE204" s="1187"/>
      <c r="BF204" s="1187"/>
      <c r="BG204" s="1187"/>
    </row>
    <row r="205" spans="18:59" x14ac:dyDescent="0.3">
      <c r="R205" s="1187"/>
      <c r="S205" s="1187"/>
      <c r="W205" s="1187"/>
      <c r="X205" s="1187"/>
      <c r="AE205" s="1187"/>
      <c r="AF205" s="1187"/>
      <c r="AV205" s="1187"/>
      <c r="AW205" s="1187"/>
      <c r="AX205" s="1187"/>
      <c r="AY205" s="1187"/>
      <c r="AZ205" s="1187"/>
      <c r="BA205" s="1187"/>
      <c r="BC205" s="1187"/>
      <c r="BE205" s="1187"/>
      <c r="BF205" s="1187"/>
      <c r="BG205" s="1187"/>
    </row>
    <row r="206" spans="18:59" x14ac:dyDescent="0.3">
      <c r="R206" s="1187"/>
      <c r="S206" s="1187"/>
      <c r="W206" s="1187"/>
      <c r="X206" s="1187"/>
      <c r="AE206" s="1187"/>
      <c r="AF206" s="1187"/>
      <c r="AV206" s="1187"/>
      <c r="AW206" s="1187"/>
      <c r="AX206" s="1187"/>
      <c r="AY206" s="1187"/>
      <c r="AZ206" s="1187"/>
      <c r="BA206" s="1187"/>
      <c r="BC206" s="1187"/>
      <c r="BE206" s="1187"/>
      <c r="BF206" s="1187"/>
      <c r="BG206" s="1187"/>
    </row>
    <row r="207" spans="18:59" x14ac:dyDescent="0.3">
      <c r="R207" s="1187"/>
      <c r="S207" s="1187"/>
      <c r="W207" s="1187"/>
      <c r="X207" s="1187"/>
      <c r="AE207" s="1187"/>
      <c r="AF207" s="1187"/>
      <c r="AV207" s="1187"/>
      <c r="AW207" s="1187"/>
      <c r="AX207" s="1187"/>
      <c r="AY207" s="1187"/>
      <c r="AZ207" s="1187"/>
      <c r="BA207" s="1187"/>
      <c r="BC207" s="1187"/>
      <c r="BE207" s="1187"/>
      <c r="BF207" s="1187"/>
      <c r="BG207" s="1187"/>
    </row>
    <row r="208" spans="18:59" x14ac:dyDescent="0.3">
      <c r="R208" s="1187"/>
      <c r="S208" s="1187"/>
      <c r="W208" s="1187"/>
      <c r="X208" s="1187"/>
      <c r="AE208" s="1187"/>
      <c r="AF208" s="1187"/>
      <c r="AV208" s="1187"/>
      <c r="AW208" s="1187"/>
      <c r="AX208" s="1187"/>
      <c r="AY208" s="1187"/>
      <c r="AZ208" s="1187"/>
      <c r="BA208" s="1187"/>
      <c r="BC208" s="1187"/>
      <c r="BE208" s="1187"/>
      <c r="BF208" s="1187"/>
      <c r="BG208" s="1187"/>
    </row>
    <row r="209" spans="18:59" x14ac:dyDescent="0.3">
      <c r="R209" s="1187"/>
      <c r="S209" s="1187"/>
      <c r="W209" s="1187"/>
      <c r="X209" s="1187"/>
      <c r="AE209" s="1187"/>
      <c r="AF209" s="1187"/>
      <c r="AV209" s="1187"/>
      <c r="AW209" s="1187"/>
      <c r="AX209" s="1187"/>
      <c r="AY209" s="1187"/>
      <c r="AZ209" s="1187"/>
      <c r="BA209" s="1187"/>
      <c r="BC209" s="1187"/>
      <c r="BE209" s="1187"/>
      <c r="BF209" s="1187"/>
      <c r="BG209" s="1187"/>
    </row>
    <row r="210" spans="18:59" x14ac:dyDescent="0.3">
      <c r="R210" s="1187"/>
      <c r="S210" s="1187"/>
      <c r="W210" s="1187"/>
      <c r="X210" s="1187"/>
      <c r="AE210" s="1187"/>
      <c r="AF210" s="1187"/>
      <c r="AV210" s="1187"/>
      <c r="AW210" s="1187"/>
      <c r="AX210" s="1187"/>
      <c r="AY210" s="1187"/>
      <c r="AZ210" s="1187"/>
      <c r="BA210" s="1187"/>
      <c r="BC210" s="1187"/>
      <c r="BE210" s="1187"/>
      <c r="BF210" s="1187"/>
      <c r="BG210" s="1187"/>
    </row>
    <row r="211" spans="18:59" x14ac:dyDescent="0.3">
      <c r="R211" s="1187"/>
      <c r="S211" s="1187"/>
      <c r="W211" s="1187"/>
      <c r="X211" s="1187"/>
      <c r="AE211" s="1187"/>
      <c r="AF211" s="1187"/>
      <c r="AV211" s="1187"/>
      <c r="AW211" s="1187"/>
      <c r="AX211" s="1187"/>
      <c r="AY211" s="1187"/>
      <c r="AZ211" s="1187"/>
      <c r="BA211" s="1187"/>
      <c r="BC211" s="1187"/>
      <c r="BE211" s="1187"/>
      <c r="BF211" s="1187"/>
      <c r="BG211" s="1187"/>
    </row>
    <row r="212" spans="18:59" x14ac:dyDescent="0.3">
      <c r="R212" s="1187"/>
      <c r="S212" s="1187"/>
      <c r="W212" s="1187"/>
      <c r="X212" s="1187"/>
      <c r="AE212" s="1187"/>
      <c r="AF212" s="1187"/>
      <c r="AV212" s="1187"/>
      <c r="AW212" s="1187"/>
      <c r="AX212" s="1187"/>
      <c r="AY212" s="1187"/>
      <c r="AZ212" s="1187"/>
      <c r="BA212" s="1187"/>
      <c r="BC212" s="1187"/>
      <c r="BE212" s="1187"/>
      <c r="BF212" s="1187"/>
      <c r="BG212" s="1187"/>
    </row>
    <row r="213" spans="18:59" x14ac:dyDescent="0.3">
      <c r="R213" s="1187"/>
      <c r="S213" s="1187"/>
      <c r="W213" s="1187"/>
      <c r="X213" s="1187"/>
      <c r="AE213" s="1187"/>
      <c r="AF213" s="1187"/>
      <c r="AV213" s="1187"/>
      <c r="AW213" s="1187"/>
      <c r="AX213" s="1187"/>
      <c r="AY213" s="1187"/>
      <c r="AZ213" s="1187"/>
      <c r="BA213" s="1187"/>
      <c r="BC213" s="1187"/>
      <c r="BE213" s="1187"/>
      <c r="BF213" s="1187"/>
      <c r="BG213" s="1187"/>
    </row>
    <row r="214" spans="18:59" x14ac:dyDescent="0.3">
      <c r="R214" s="1187"/>
      <c r="S214" s="1187"/>
      <c r="W214" s="1187"/>
      <c r="X214" s="1187"/>
      <c r="AE214" s="1187"/>
      <c r="AF214" s="1187"/>
      <c r="AV214" s="1187"/>
      <c r="AW214" s="1187"/>
      <c r="AX214" s="1187"/>
      <c r="AY214" s="1187"/>
      <c r="AZ214" s="1187"/>
      <c r="BA214" s="1187"/>
      <c r="BC214" s="1187"/>
      <c r="BE214" s="1187"/>
      <c r="BF214" s="1187"/>
      <c r="BG214" s="1187"/>
    </row>
    <row r="215" spans="18:59" x14ac:dyDescent="0.3">
      <c r="R215" s="1187"/>
      <c r="S215" s="1187"/>
      <c r="W215" s="1187"/>
      <c r="X215" s="1187"/>
      <c r="AE215" s="1187"/>
      <c r="AF215" s="1187"/>
      <c r="AV215" s="1187"/>
      <c r="AW215" s="1187"/>
      <c r="AX215" s="1187"/>
      <c r="AY215" s="1187"/>
      <c r="AZ215" s="1187"/>
      <c r="BA215" s="1187"/>
      <c r="BC215" s="1187"/>
      <c r="BE215" s="1187"/>
      <c r="BF215" s="1187"/>
      <c r="BG215" s="1187"/>
    </row>
    <row r="216" spans="18:59" x14ac:dyDescent="0.3">
      <c r="R216" s="1187"/>
      <c r="S216" s="1187"/>
      <c r="W216" s="1187"/>
      <c r="X216" s="1187"/>
      <c r="AE216" s="1187"/>
      <c r="AF216" s="1187"/>
      <c r="AV216" s="1187"/>
      <c r="AW216" s="1187"/>
      <c r="AX216" s="1187"/>
      <c r="AY216" s="1187"/>
      <c r="AZ216" s="1187"/>
      <c r="BA216" s="1187"/>
      <c r="BC216" s="1187"/>
      <c r="BE216" s="1187"/>
      <c r="BF216" s="1187"/>
      <c r="BG216" s="1187"/>
    </row>
    <row r="217" spans="18:59" x14ac:dyDescent="0.3">
      <c r="R217" s="1187"/>
      <c r="S217" s="1187"/>
      <c r="W217" s="1187"/>
      <c r="X217" s="1187"/>
      <c r="AE217" s="1187"/>
      <c r="AF217" s="1187"/>
      <c r="AV217" s="1187"/>
      <c r="AW217" s="1187"/>
      <c r="AX217" s="1187"/>
      <c r="AY217" s="1187"/>
      <c r="AZ217" s="1187"/>
      <c r="BA217" s="1187"/>
      <c r="BC217" s="1187"/>
      <c r="BE217" s="1187"/>
      <c r="BF217" s="1187"/>
      <c r="BG217" s="1187"/>
    </row>
    <row r="218" spans="18:59" x14ac:dyDescent="0.3">
      <c r="R218" s="1187"/>
      <c r="S218" s="1187"/>
      <c r="W218" s="1187"/>
      <c r="X218" s="1187"/>
      <c r="AE218" s="1187"/>
      <c r="AF218" s="1187"/>
      <c r="AV218" s="1187"/>
      <c r="AW218" s="1187"/>
      <c r="AX218" s="1187"/>
      <c r="AY218" s="1187"/>
      <c r="AZ218" s="1187"/>
      <c r="BA218" s="1187"/>
      <c r="BC218" s="1187"/>
      <c r="BE218" s="1187"/>
      <c r="BF218" s="1187"/>
      <c r="BG218" s="1187"/>
    </row>
    <row r="219" spans="18:59" x14ac:dyDescent="0.3">
      <c r="R219" s="1187"/>
      <c r="S219" s="1187"/>
      <c r="W219" s="1187"/>
      <c r="X219" s="1187"/>
      <c r="AE219" s="1187"/>
      <c r="AF219" s="1187"/>
      <c r="AV219" s="1187"/>
      <c r="AW219" s="1187"/>
      <c r="AX219" s="1187"/>
      <c r="AY219" s="1187"/>
      <c r="AZ219" s="1187"/>
      <c r="BA219" s="1187"/>
      <c r="BC219" s="1187"/>
      <c r="BE219" s="1187"/>
      <c r="BF219" s="1187"/>
      <c r="BG219" s="1187"/>
    </row>
    <row r="220" spans="18:59" x14ac:dyDescent="0.3">
      <c r="R220" s="1187"/>
      <c r="S220" s="1187"/>
      <c r="W220" s="1187"/>
      <c r="X220" s="1187"/>
      <c r="AE220" s="1187"/>
      <c r="AF220" s="1187"/>
      <c r="AV220" s="1187"/>
      <c r="AW220" s="1187"/>
      <c r="AX220" s="1187"/>
      <c r="AY220" s="1187"/>
      <c r="AZ220" s="1187"/>
      <c r="BA220" s="1187"/>
      <c r="BC220" s="1187"/>
      <c r="BE220" s="1187"/>
      <c r="BF220" s="1187"/>
      <c r="BG220" s="1187"/>
    </row>
    <row r="221" spans="18:59" x14ac:dyDescent="0.3">
      <c r="R221" s="1187"/>
      <c r="S221" s="1187"/>
      <c r="W221" s="1187"/>
      <c r="X221" s="1187"/>
      <c r="AE221" s="1187"/>
      <c r="AF221" s="1187"/>
      <c r="AV221" s="1187"/>
      <c r="AW221" s="1187"/>
      <c r="AX221" s="1187"/>
      <c r="AY221" s="1187"/>
      <c r="AZ221" s="1187"/>
      <c r="BA221" s="1187"/>
      <c r="BC221" s="1187"/>
      <c r="BE221" s="1187"/>
      <c r="BF221" s="1187"/>
      <c r="BG221" s="1187"/>
    </row>
    <row r="222" spans="18:59" x14ac:dyDescent="0.3">
      <c r="R222" s="1187"/>
      <c r="S222" s="1187"/>
      <c r="W222" s="1187"/>
      <c r="X222" s="1187"/>
      <c r="AE222" s="1187"/>
      <c r="AF222" s="1187"/>
      <c r="AV222" s="1187"/>
      <c r="AW222" s="1187"/>
      <c r="AX222" s="1187"/>
      <c r="AY222" s="1187"/>
      <c r="AZ222" s="1187"/>
      <c r="BA222" s="1187"/>
      <c r="BC222" s="1187"/>
      <c r="BE222" s="1187"/>
      <c r="BF222" s="1187"/>
      <c r="BG222" s="1187"/>
    </row>
    <row r="223" spans="18:59" x14ac:dyDescent="0.3">
      <c r="R223" s="1187"/>
      <c r="S223" s="1187"/>
      <c r="W223" s="1187"/>
      <c r="X223" s="1187"/>
      <c r="AE223" s="1187"/>
      <c r="AF223" s="1187"/>
      <c r="AV223" s="1187"/>
      <c r="AW223" s="1187"/>
      <c r="AX223" s="1187"/>
      <c r="AY223" s="1187"/>
      <c r="AZ223" s="1187"/>
      <c r="BA223" s="1187"/>
      <c r="BC223" s="1187"/>
      <c r="BE223" s="1187"/>
      <c r="BF223" s="1187"/>
      <c r="BG223" s="1187"/>
    </row>
    <row r="224" spans="18:59" x14ac:dyDescent="0.3">
      <c r="R224" s="1187"/>
      <c r="S224" s="1187"/>
      <c r="W224" s="1187"/>
      <c r="X224" s="1187"/>
      <c r="AE224" s="1187"/>
      <c r="AF224" s="1187"/>
      <c r="AV224" s="1187"/>
      <c r="AW224" s="1187"/>
      <c r="AX224" s="1187"/>
      <c r="AY224" s="1187"/>
      <c r="AZ224" s="1187"/>
      <c r="BA224" s="1187"/>
      <c r="BC224" s="1187"/>
      <c r="BE224" s="1187"/>
      <c r="BF224" s="1187"/>
      <c r="BG224" s="1187"/>
    </row>
    <row r="225" spans="18:59" x14ac:dyDescent="0.3">
      <c r="R225" s="1187"/>
      <c r="S225" s="1187"/>
      <c r="W225" s="1187"/>
      <c r="X225" s="1187"/>
      <c r="AE225" s="1187"/>
      <c r="AF225" s="1187"/>
      <c r="AV225" s="1187"/>
      <c r="AW225" s="1187"/>
      <c r="AX225" s="1187"/>
      <c r="AY225" s="1187"/>
      <c r="AZ225" s="1187"/>
      <c r="BA225" s="1187"/>
      <c r="BC225" s="1187"/>
      <c r="BE225" s="1187"/>
      <c r="BF225" s="1187"/>
      <c r="BG225" s="1187"/>
    </row>
    <row r="226" spans="18:59" x14ac:dyDescent="0.3">
      <c r="R226" s="1187"/>
      <c r="S226" s="1187"/>
      <c r="W226" s="1187"/>
      <c r="X226" s="1187"/>
      <c r="AE226" s="1187"/>
      <c r="AF226" s="1187"/>
      <c r="AV226" s="1187"/>
      <c r="AW226" s="1187"/>
      <c r="AX226" s="1187"/>
      <c r="AY226" s="1187"/>
      <c r="AZ226" s="1187"/>
      <c r="BA226" s="1187"/>
      <c r="BC226" s="1187"/>
      <c r="BE226" s="1187"/>
      <c r="BF226" s="1187"/>
      <c r="BG226" s="1187"/>
    </row>
    <row r="227" spans="18:59" x14ac:dyDescent="0.3">
      <c r="R227" s="1187"/>
      <c r="S227" s="1187"/>
      <c r="W227" s="1187"/>
      <c r="X227" s="1187"/>
      <c r="AE227" s="1187"/>
      <c r="AF227" s="1187"/>
      <c r="AV227" s="1187"/>
      <c r="AW227" s="1187"/>
      <c r="AX227" s="1187"/>
      <c r="AY227" s="1187"/>
      <c r="AZ227" s="1187"/>
      <c r="BA227" s="1187"/>
      <c r="BC227" s="1187"/>
      <c r="BE227" s="1187"/>
      <c r="BF227" s="1187"/>
      <c r="BG227" s="1187"/>
    </row>
    <row r="228" spans="18:59" x14ac:dyDescent="0.3">
      <c r="R228" s="1187"/>
      <c r="S228" s="1187"/>
      <c r="W228" s="1187"/>
      <c r="X228" s="1187"/>
      <c r="AE228" s="1187"/>
      <c r="AF228" s="1187"/>
      <c r="AV228" s="1187"/>
      <c r="AW228" s="1187"/>
      <c r="AX228" s="1187"/>
      <c r="AY228" s="1187"/>
      <c r="AZ228" s="1187"/>
      <c r="BA228" s="1187"/>
      <c r="BC228" s="1187"/>
      <c r="BE228" s="1187"/>
      <c r="BF228" s="1187"/>
      <c r="BG228" s="1187"/>
    </row>
    <row r="229" spans="18:59" x14ac:dyDescent="0.3">
      <c r="R229" s="1187"/>
      <c r="S229" s="1187"/>
      <c r="W229" s="1187"/>
      <c r="X229" s="1187"/>
      <c r="AE229" s="1187"/>
      <c r="AF229" s="1187"/>
      <c r="AV229" s="1187"/>
      <c r="AW229" s="1187"/>
      <c r="AX229" s="1187"/>
      <c r="AY229" s="1187"/>
      <c r="AZ229" s="1187"/>
      <c r="BA229" s="1187"/>
      <c r="BC229" s="1187"/>
      <c r="BE229" s="1187"/>
      <c r="BF229" s="1187"/>
      <c r="BG229" s="1187"/>
    </row>
    <row r="230" spans="18:59" x14ac:dyDescent="0.3">
      <c r="R230" s="1187"/>
      <c r="S230" s="1187"/>
      <c r="W230" s="1187"/>
      <c r="X230" s="1187"/>
      <c r="AE230" s="1187"/>
      <c r="AF230" s="1187"/>
      <c r="AV230" s="1187"/>
      <c r="AW230" s="1187"/>
      <c r="AX230" s="1187"/>
      <c r="AY230" s="1187"/>
      <c r="AZ230" s="1187"/>
      <c r="BA230" s="1187"/>
      <c r="BC230" s="1187"/>
      <c r="BE230" s="1187"/>
      <c r="BF230" s="1187"/>
      <c r="BG230" s="1187"/>
    </row>
    <row r="231" spans="18:59" x14ac:dyDescent="0.3">
      <c r="R231" s="1187"/>
      <c r="S231" s="1187"/>
      <c r="W231" s="1187"/>
      <c r="X231" s="1187"/>
      <c r="AE231" s="1187"/>
      <c r="AF231" s="1187"/>
      <c r="AV231" s="1187"/>
      <c r="AW231" s="1187"/>
      <c r="AX231" s="1187"/>
      <c r="AY231" s="1187"/>
      <c r="AZ231" s="1187"/>
      <c r="BA231" s="1187"/>
      <c r="BC231" s="1187"/>
      <c r="BE231" s="1187"/>
      <c r="BF231" s="1187"/>
      <c r="BG231" s="1187"/>
    </row>
    <row r="232" spans="18:59" x14ac:dyDescent="0.3">
      <c r="R232" s="1187"/>
      <c r="S232" s="1187"/>
      <c r="W232" s="1187"/>
      <c r="X232" s="1187"/>
      <c r="AE232" s="1187"/>
      <c r="AF232" s="1187"/>
      <c r="AV232" s="1187"/>
      <c r="AW232" s="1187"/>
      <c r="AX232" s="1187"/>
      <c r="AY232" s="1187"/>
      <c r="AZ232" s="1187"/>
      <c r="BA232" s="1187"/>
      <c r="BC232" s="1187"/>
      <c r="BE232" s="1187"/>
      <c r="BF232" s="1187"/>
      <c r="BG232" s="1187"/>
    </row>
    <row r="233" spans="18:59" x14ac:dyDescent="0.3">
      <c r="R233" s="1187"/>
      <c r="S233" s="1187"/>
      <c r="W233" s="1187"/>
      <c r="X233" s="1187"/>
      <c r="AE233" s="1187"/>
      <c r="AF233" s="1187"/>
      <c r="AV233" s="1187"/>
      <c r="AW233" s="1187"/>
      <c r="AX233" s="1187"/>
      <c r="AY233" s="1187"/>
      <c r="AZ233" s="1187"/>
      <c r="BA233" s="1187"/>
      <c r="BC233" s="1187"/>
      <c r="BE233" s="1187"/>
      <c r="BF233" s="1187"/>
      <c r="BG233" s="1187"/>
    </row>
    <row r="234" spans="18:59" x14ac:dyDescent="0.3">
      <c r="R234" s="1187"/>
      <c r="S234" s="1187"/>
      <c r="W234" s="1187"/>
      <c r="X234" s="1187"/>
      <c r="AE234" s="1187"/>
      <c r="AF234" s="1187"/>
      <c r="AV234" s="1187"/>
      <c r="AW234" s="1187"/>
      <c r="AX234" s="1187"/>
      <c r="AY234" s="1187"/>
      <c r="AZ234" s="1187"/>
      <c r="BA234" s="1187"/>
      <c r="BC234" s="1187"/>
      <c r="BE234" s="1187"/>
      <c r="BF234" s="1187"/>
      <c r="BG234" s="1187"/>
    </row>
    <row r="235" spans="18:59" x14ac:dyDescent="0.3">
      <c r="R235" s="1187"/>
      <c r="S235" s="1187"/>
      <c r="W235" s="1187"/>
      <c r="X235" s="1187"/>
      <c r="AE235" s="1187"/>
      <c r="AF235" s="1187"/>
      <c r="AV235" s="1187"/>
      <c r="AW235" s="1187"/>
      <c r="AX235" s="1187"/>
      <c r="AY235" s="1187"/>
      <c r="AZ235" s="1187"/>
      <c r="BA235" s="1187"/>
      <c r="BC235" s="1187"/>
      <c r="BE235" s="1187"/>
      <c r="BF235" s="1187"/>
      <c r="BG235" s="1187"/>
    </row>
    <row r="236" spans="18:59" x14ac:dyDescent="0.3">
      <c r="R236" s="1187"/>
      <c r="S236" s="1187"/>
      <c r="W236" s="1187"/>
      <c r="X236" s="1187"/>
      <c r="AE236" s="1187"/>
      <c r="AF236" s="1187"/>
      <c r="AV236" s="1187"/>
      <c r="AW236" s="1187"/>
      <c r="AX236" s="1187"/>
      <c r="AY236" s="1187"/>
      <c r="AZ236" s="1187"/>
      <c r="BA236" s="1187"/>
      <c r="BC236" s="1187"/>
      <c r="BE236" s="1187"/>
      <c r="BF236" s="1187"/>
      <c r="BG236" s="1187"/>
    </row>
    <row r="237" spans="18:59" x14ac:dyDescent="0.3">
      <c r="R237" s="1187"/>
      <c r="S237" s="1187"/>
      <c r="W237" s="1187"/>
      <c r="X237" s="1187"/>
      <c r="AE237" s="1187"/>
      <c r="AF237" s="1187"/>
      <c r="AV237" s="1187"/>
      <c r="AW237" s="1187"/>
      <c r="AX237" s="1187"/>
      <c r="AY237" s="1187"/>
      <c r="AZ237" s="1187"/>
      <c r="BA237" s="1187"/>
      <c r="BC237" s="1187"/>
      <c r="BE237" s="1187"/>
      <c r="BF237" s="1187"/>
      <c r="BG237" s="1187"/>
    </row>
    <row r="238" spans="18:59" x14ac:dyDescent="0.3">
      <c r="R238" s="1187"/>
      <c r="S238" s="1187"/>
      <c r="W238" s="1187"/>
      <c r="X238" s="1187"/>
      <c r="AE238" s="1187"/>
      <c r="AF238" s="1187"/>
      <c r="AV238" s="1187"/>
      <c r="AW238" s="1187"/>
      <c r="AX238" s="1187"/>
      <c r="AY238" s="1187"/>
      <c r="AZ238" s="1187"/>
      <c r="BA238" s="1187"/>
      <c r="BC238" s="1187"/>
      <c r="BE238" s="1187"/>
      <c r="BF238" s="1187"/>
      <c r="BG238" s="1187"/>
    </row>
    <row r="239" spans="18:59" x14ac:dyDescent="0.3">
      <c r="R239" s="1187"/>
      <c r="S239" s="1187"/>
      <c r="W239" s="1187"/>
      <c r="X239" s="1187"/>
      <c r="AE239" s="1187"/>
      <c r="AF239" s="1187"/>
      <c r="AV239" s="1187"/>
      <c r="AW239" s="1187"/>
      <c r="AX239" s="1187"/>
      <c r="AY239" s="1187"/>
      <c r="AZ239" s="1187"/>
      <c r="BA239" s="1187"/>
      <c r="BC239" s="1187"/>
      <c r="BE239" s="1187"/>
      <c r="BF239" s="1187"/>
      <c r="BG239" s="1187"/>
    </row>
    <row r="240" spans="18:59" x14ac:dyDescent="0.3">
      <c r="R240" s="1187"/>
      <c r="S240" s="1187"/>
      <c r="W240" s="1187"/>
      <c r="X240" s="1187"/>
      <c r="AE240" s="1187"/>
      <c r="AF240" s="1187"/>
      <c r="AV240" s="1187"/>
      <c r="AW240" s="1187"/>
      <c r="AX240" s="1187"/>
      <c r="AY240" s="1187"/>
      <c r="AZ240" s="1187"/>
      <c r="BA240" s="1187"/>
      <c r="BC240" s="1187"/>
      <c r="BE240" s="1187"/>
      <c r="BF240" s="1187"/>
      <c r="BG240" s="1187"/>
    </row>
    <row r="241" spans="18:59" x14ac:dyDescent="0.3">
      <c r="R241" s="1187"/>
      <c r="S241" s="1187"/>
      <c r="W241" s="1187"/>
      <c r="X241" s="1187"/>
      <c r="AE241" s="1187"/>
      <c r="AF241" s="1187"/>
      <c r="AV241" s="1187"/>
      <c r="AW241" s="1187"/>
      <c r="AX241" s="1187"/>
      <c r="AY241" s="1187"/>
      <c r="AZ241" s="1187"/>
      <c r="BA241" s="1187"/>
      <c r="BC241" s="1187"/>
      <c r="BE241" s="1187"/>
      <c r="BF241" s="1187"/>
      <c r="BG241" s="1187"/>
    </row>
    <row r="242" spans="18:59" x14ac:dyDescent="0.3">
      <c r="R242" s="1187"/>
      <c r="S242" s="1187"/>
      <c r="W242" s="1187"/>
      <c r="X242" s="1187"/>
      <c r="AE242" s="1187"/>
      <c r="AF242" s="1187"/>
      <c r="AV242" s="1187"/>
      <c r="AW242" s="1187"/>
      <c r="AX242" s="1187"/>
      <c r="AY242" s="1187"/>
      <c r="AZ242" s="1187"/>
      <c r="BA242" s="1187"/>
      <c r="BC242" s="1187"/>
      <c r="BE242" s="1187"/>
      <c r="BF242" s="1187"/>
      <c r="BG242" s="1187"/>
    </row>
    <row r="243" spans="18:59" x14ac:dyDescent="0.3">
      <c r="R243" s="1187"/>
      <c r="S243" s="1187"/>
      <c r="W243" s="1187"/>
      <c r="X243" s="1187"/>
      <c r="AE243" s="1187"/>
      <c r="AF243" s="1187"/>
      <c r="AV243" s="1187"/>
      <c r="AW243" s="1187"/>
      <c r="AX243" s="1187"/>
      <c r="AY243" s="1187"/>
      <c r="AZ243" s="1187"/>
      <c r="BA243" s="1187"/>
      <c r="BC243" s="1187"/>
      <c r="BE243" s="1187"/>
      <c r="BF243" s="1187"/>
      <c r="BG243" s="1187"/>
    </row>
    <row r="244" spans="18:59" x14ac:dyDescent="0.3">
      <c r="R244" s="1187"/>
      <c r="S244" s="1187"/>
      <c r="W244" s="1187"/>
      <c r="X244" s="1187"/>
      <c r="AE244" s="1187"/>
      <c r="AF244" s="1187"/>
      <c r="AV244" s="1187"/>
      <c r="AW244" s="1187"/>
      <c r="AX244" s="1187"/>
      <c r="AY244" s="1187"/>
      <c r="AZ244" s="1187"/>
      <c r="BA244" s="1187"/>
      <c r="BC244" s="1187"/>
      <c r="BE244" s="1187"/>
      <c r="BF244" s="1187"/>
      <c r="BG244" s="1187"/>
    </row>
    <row r="245" spans="18:59" x14ac:dyDescent="0.3">
      <c r="R245" s="1187"/>
      <c r="S245" s="1187"/>
      <c r="W245" s="1187"/>
      <c r="X245" s="1187"/>
      <c r="AE245" s="1187"/>
      <c r="AF245" s="1187"/>
      <c r="AV245" s="1187"/>
      <c r="AW245" s="1187"/>
      <c r="AX245" s="1187"/>
      <c r="AY245" s="1187"/>
      <c r="AZ245" s="1187"/>
      <c r="BA245" s="1187"/>
      <c r="BC245" s="1187"/>
      <c r="BE245" s="1187"/>
      <c r="BF245" s="1187"/>
      <c r="BG245" s="1187"/>
    </row>
    <row r="246" spans="18:59" x14ac:dyDescent="0.3">
      <c r="R246" s="1187"/>
      <c r="S246" s="1187"/>
      <c r="W246" s="1187"/>
      <c r="X246" s="1187"/>
      <c r="AE246" s="1187"/>
      <c r="AF246" s="1187"/>
      <c r="AV246" s="1187"/>
      <c r="AW246" s="1187"/>
      <c r="AX246" s="1187"/>
      <c r="AY246" s="1187"/>
      <c r="AZ246" s="1187"/>
      <c r="BA246" s="1187"/>
      <c r="BC246" s="1187"/>
      <c r="BE246" s="1187"/>
      <c r="BF246" s="1187"/>
      <c r="BG246" s="1187"/>
    </row>
    <row r="247" spans="18:59" x14ac:dyDescent="0.3">
      <c r="R247" s="1187"/>
      <c r="S247" s="1187"/>
      <c r="W247" s="1187"/>
      <c r="X247" s="1187"/>
      <c r="AE247" s="1187"/>
      <c r="AF247" s="1187"/>
      <c r="AV247" s="1187"/>
      <c r="AW247" s="1187"/>
      <c r="AX247" s="1187"/>
      <c r="AY247" s="1187"/>
      <c r="AZ247" s="1187"/>
      <c r="BA247" s="1187"/>
      <c r="BC247" s="1187"/>
      <c r="BE247" s="1187"/>
      <c r="BF247" s="1187"/>
      <c r="BG247" s="1187"/>
    </row>
    <row r="248" spans="18:59" x14ac:dyDescent="0.3">
      <c r="R248" s="1187"/>
      <c r="S248" s="1187"/>
      <c r="W248" s="1187"/>
      <c r="X248" s="1187"/>
      <c r="AE248" s="1187"/>
      <c r="AF248" s="1187"/>
      <c r="AV248" s="1187"/>
      <c r="AW248" s="1187"/>
      <c r="AX248" s="1187"/>
      <c r="AY248" s="1187"/>
      <c r="AZ248" s="1187"/>
      <c r="BA248" s="1187"/>
      <c r="BC248" s="1187"/>
      <c r="BE248" s="1187"/>
      <c r="BF248" s="1187"/>
      <c r="BG248" s="1187"/>
    </row>
    <row r="249" spans="18:59" x14ac:dyDescent="0.3">
      <c r="R249" s="1187"/>
      <c r="S249" s="1187"/>
      <c r="W249" s="1187"/>
      <c r="X249" s="1187"/>
      <c r="AE249" s="1187"/>
      <c r="AF249" s="1187"/>
      <c r="AV249" s="1187"/>
      <c r="AW249" s="1187"/>
      <c r="AX249" s="1187"/>
      <c r="AY249" s="1187"/>
      <c r="AZ249" s="1187"/>
      <c r="BA249" s="1187"/>
      <c r="BC249" s="1187"/>
      <c r="BE249" s="1187"/>
      <c r="BF249" s="1187"/>
      <c r="BG249" s="1187"/>
    </row>
    <row r="250" spans="18:59" x14ac:dyDescent="0.3">
      <c r="R250" s="1187"/>
      <c r="S250" s="1187"/>
      <c r="W250" s="1187"/>
      <c r="X250" s="1187"/>
      <c r="AE250" s="1187"/>
      <c r="AF250" s="1187"/>
      <c r="AV250" s="1187"/>
      <c r="AW250" s="1187"/>
      <c r="AX250" s="1187"/>
      <c r="AY250" s="1187"/>
      <c r="AZ250" s="1187"/>
      <c r="BA250" s="1187"/>
      <c r="BC250" s="1187"/>
      <c r="BE250" s="1187"/>
      <c r="BF250" s="1187"/>
      <c r="BG250" s="1187"/>
    </row>
    <row r="251" spans="18:59" x14ac:dyDescent="0.3">
      <c r="R251" s="1187"/>
      <c r="S251" s="1187"/>
      <c r="W251" s="1187"/>
      <c r="X251" s="1187"/>
      <c r="AE251" s="1187"/>
      <c r="AF251" s="1187"/>
      <c r="AV251" s="1187"/>
      <c r="AW251" s="1187"/>
      <c r="AX251" s="1187"/>
      <c r="AY251" s="1187"/>
      <c r="AZ251" s="1187"/>
      <c r="BA251" s="1187"/>
      <c r="BC251" s="1187"/>
      <c r="BE251" s="1187"/>
      <c r="BF251" s="1187"/>
      <c r="BG251" s="1187"/>
    </row>
    <row r="252" spans="18:59" x14ac:dyDescent="0.3">
      <c r="R252" s="1187"/>
      <c r="S252" s="1187"/>
      <c r="W252" s="1187"/>
      <c r="X252" s="1187"/>
      <c r="AE252" s="1187"/>
      <c r="AF252" s="1187"/>
      <c r="AV252" s="1187"/>
      <c r="AW252" s="1187"/>
      <c r="AX252" s="1187"/>
      <c r="AY252" s="1187"/>
      <c r="AZ252" s="1187"/>
      <c r="BA252" s="1187"/>
      <c r="BC252" s="1187"/>
      <c r="BE252" s="1187"/>
      <c r="BF252" s="1187"/>
      <c r="BG252" s="1187"/>
    </row>
    <row r="253" spans="18:59" x14ac:dyDescent="0.3">
      <c r="R253" s="1187"/>
      <c r="S253" s="1187"/>
      <c r="W253" s="1187"/>
      <c r="X253" s="1187"/>
      <c r="AE253" s="1187"/>
      <c r="AF253" s="1187"/>
      <c r="AV253" s="1187"/>
      <c r="AW253" s="1187"/>
      <c r="AX253" s="1187"/>
      <c r="AY253" s="1187"/>
      <c r="AZ253" s="1187"/>
      <c r="BA253" s="1187"/>
      <c r="BC253" s="1187"/>
      <c r="BE253" s="1187"/>
      <c r="BF253" s="1187"/>
      <c r="BG253" s="1187"/>
    </row>
    <row r="254" spans="18:59" x14ac:dyDescent="0.3">
      <c r="R254" s="1187"/>
      <c r="S254" s="1187"/>
      <c r="W254" s="1187"/>
      <c r="X254" s="1187"/>
      <c r="AE254" s="1187"/>
      <c r="AF254" s="1187"/>
      <c r="AV254" s="1187"/>
      <c r="AW254" s="1187"/>
      <c r="AX254" s="1187"/>
      <c r="AY254" s="1187"/>
      <c r="AZ254" s="1187"/>
      <c r="BA254" s="1187"/>
      <c r="BC254" s="1187"/>
      <c r="BE254" s="1187"/>
      <c r="BF254" s="1187"/>
      <c r="BG254" s="1187"/>
    </row>
    <row r="255" spans="18:59" x14ac:dyDescent="0.3">
      <c r="R255" s="1187"/>
      <c r="S255" s="1187"/>
      <c r="W255" s="1187"/>
      <c r="X255" s="1187"/>
      <c r="AE255" s="1187"/>
      <c r="AF255" s="1187"/>
      <c r="AV255" s="1187"/>
      <c r="AW255" s="1187"/>
      <c r="AX255" s="1187"/>
      <c r="AY255" s="1187"/>
      <c r="AZ255" s="1187"/>
      <c r="BA255" s="1187"/>
      <c r="BC255" s="1187"/>
      <c r="BE255" s="1187"/>
      <c r="BF255" s="1187"/>
      <c r="BG255" s="1187"/>
    </row>
    <row r="256" spans="18:59" x14ac:dyDescent="0.3">
      <c r="R256" s="1187"/>
      <c r="S256" s="1187"/>
      <c r="W256" s="1187"/>
      <c r="X256" s="1187"/>
      <c r="AE256" s="1187"/>
      <c r="AF256" s="1187"/>
      <c r="AV256" s="1187"/>
      <c r="AW256" s="1187"/>
      <c r="AX256" s="1187"/>
      <c r="AY256" s="1187"/>
      <c r="AZ256" s="1187"/>
      <c r="BA256" s="1187"/>
      <c r="BC256" s="1187"/>
      <c r="BE256" s="1187"/>
      <c r="BF256" s="1187"/>
      <c r="BG256" s="1187"/>
    </row>
    <row r="257" spans="18:59" x14ac:dyDescent="0.3">
      <c r="R257" s="1187"/>
      <c r="S257" s="1187"/>
      <c r="W257" s="1187"/>
      <c r="X257" s="1187"/>
      <c r="AE257" s="1187"/>
      <c r="AF257" s="1187"/>
      <c r="AV257" s="1187"/>
      <c r="AW257" s="1187"/>
      <c r="AX257" s="1187"/>
      <c r="AY257" s="1187"/>
      <c r="AZ257" s="1187"/>
      <c r="BA257" s="1187"/>
      <c r="BC257" s="1187"/>
      <c r="BE257" s="1187"/>
      <c r="BF257" s="1187"/>
      <c r="BG257" s="1187"/>
    </row>
    <row r="258" spans="18:59" x14ac:dyDescent="0.3">
      <c r="R258" s="1187"/>
      <c r="S258" s="1187"/>
      <c r="W258" s="1187"/>
      <c r="X258" s="1187"/>
      <c r="AE258" s="1187"/>
      <c r="AF258" s="1187"/>
      <c r="AV258" s="1187"/>
      <c r="AW258" s="1187"/>
      <c r="AX258" s="1187"/>
      <c r="AY258" s="1187"/>
      <c r="AZ258" s="1187"/>
      <c r="BA258" s="1187"/>
      <c r="BC258" s="1187"/>
      <c r="BE258" s="1187"/>
      <c r="BF258" s="1187"/>
      <c r="BG258" s="1187"/>
    </row>
    <row r="259" spans="18:59" x14ac:dyDescent="0.3">
      <c r="R259" s="1187"/>
      <c r="S259" s="1187"/>
      <c r="W259" s="1187"/>
      <c r="X259" s="1187"/>
      <c r="AE259" s="1187"/>
      <c r="AF259" s="1187"/>
      <c r="AV259" s="1187"/>
      <c r="AW259" s="1187"/>
      <c r="AX259" s="1187"/>
      <c r="AY259" s="1187"/>
      <c r="AZ259" s="1187"/>
      <c r="BA259" s="1187"/>
      <c r="BC259" s="1187"/>
      <c r="BE259" s="1187"/>
      <c r="BF259" s="1187"/>
      <c r="BG259" s="1187"/>
    </row>
    <row r="260" spans="18:59" x14ac:dyDescent="0.3">
      <c r="R260" s="1187"/>
      <c r="S260" s="1187"/>
      <c r="W260" s="1187"/>
      <c r="X260" s="1187"/>
      <c r="AE260" s="1187"/>
      <c r="AF260" s="1187"/>
      <c r="AV260" s="1187"/>
      <c r="AW260" s="1187"/>
      <c r="AX260" s="1187"/>
      <c r="AY260" s="1187"/>
      <c r="AZ260" s="1187"/>
      <c r="BA260" s="1187"/>
      <c r="BC260" s="1187"/>
      <c r="BE260" s="1187"/>
      <c r="BF260" s="1187"/>
      <c r="BG260" s="1187"/>
    </row>
    <row r="261" spans="18:59" x14ac:dyDescent="0.3">
      <c r="R261" s="1187"/>
      <c r="S261" s="1187"/>
      <c r="W261" s="1187"/>
      <c r="X261" s="1187"/>
      <c r="AE261" s="1187"/>
      <c r="AF261" s="1187"/>
      <c r="AV261" s="1187"/>
      <c r="AW261" s="1187"/>
      <c r="AX261" s="1187"/>
      <c r="AY261" s="1187"/>
      <c r="AZ261" s="1187"/>
      <c r="BA261" s="1187"/>
      <c r="BC261" s="1187"/>
      <c r="BE261" s="1187"/>
      <c r="BF261" s="1187"/>
      <c r="BG261" s="1187"/>
    </row>
    <row r="262" spans="18:59" x14ac:dyDescent="0.3">
      <c r="R262" s="1187"/>
      <c r="S262" s="1187"/>
      <c r="W262" s="1187"/>
      <c r="X262" s="1187"/>
      <c r="AE262" s="1187"/>
      <c r="AF262" s="1187"/>
      <c r="AV262" s="1187"/>
      <c r="AW262" s="1187"/>
      <c r="AX262" s="1187"/>
      <c r="AY262" s="1187"/>
      <c r="AZ262" s="1187"/>
      <c r="BA262" s="1187"/>
      <c r="BC262" s="1187"/>
      <c r="BE262" s="1187"/>
      <c r="BF262" s="1187"/>
      <c r="BG262" s="1187"/>
    </row>
    <row r="263" spans="18:59" x14ac:dyDescent="0.3">
      <c r="R263" s="1187"/>
      <c r="S263" s="1187"/>
      <c r="W263" s="1187"/>
      <c r="X263" s="1187"/>
      <c r="AE263" s="1187"/>
      <c r="AF263" s="1187"/>
      <c r="AV263" s="1187"/>
      <c r="AW263" s="1187"/>
      <c r="AX263" s="1187"/>
      <c r="AY263" s="1187"/>
      <c r="AZ263" s="1187"/>
      <c r="BA263" s="1187"/>
      <c r="BC263" s="1187"/>
      <c r="BE263" s="1187"/>
      <c r="BF263" s="1187"/>
      <c r="BG263" s="1187"/>
    </row>
    <row r="264" spans="18:59" x14ac:dyDescent="0.3">
      <c r="R264" s="1187"/>
      <c r="S264" s="1187"/>
      <c r="W264" s="1187"/>
      <c r="X264" s="1187"/>
      <c r="AE264" s="1187"/>
      <c r="AF264" s="1187"/>
      <c r="AV264" s="1187"/>
      <c r="AW264" s="1187"/>
      <c r="AX264" s="1187"/>
      <c r="AY264" s="1187"/>
      <c r="AZ264" s="1187"/>
      <c r="BA264" s="1187"/>
      <c r="BC264" s="1187"/>
      <c r="BE264" s="1187"/>
      <c r="BF264" s="1187"/>
      <c r="BG264" s="1187"/>
    </row>
    <row r="265" spans="18:59" x14ac:dyDescent="0.3">
      <c r="R265" s="1187"/>
      <c r="S265" s="1187"/>
      <c r="W265" s="1187"/>
      <c r="X265" s="1187"/>
      <c r="AE265" s="1187"/>
      <c r="AF265" s="1187"/>
      <c r="AV265" s="1187"/>
      <c r="AW265" s="1187"/>
      <c r="AX265" s="1187"/>
      <c r="AY265" s="1187"/>
      <c r="AZ265" s="1187"/>
      <c r="BA265" s="1187"/>
      <c r="BC265" s="1187"/>
      <c r="BE265" s="1187"/>
      <c r="BF265" s="1187"/>
      <c r="BG265" s="1187"/>
    </row>
    <row r="266" spans="18:59" x14ac:dyDescent="0.3">
      <c r="R266" s="1187"/>
      <c r="S266" s="1187"/>
      <c r="W266" s="1187"/>
      <c r="X266" s="1187"/>
      <c r="AE266" s="1187"/>
      <c r="AF266" s="1187"/>
      <c r="AV266" s="1187"/>
      <c r="AW266" s="1187"/>
      <c r="AX266" s="1187"/>
      <c r="AY266" s="1187"/>
      <c r="AZ266" s="1187"/>
      <c r="BA266" s="1187"/>
      <c r="BC266" s="1187"/>
      <c r="BE266" s="1187"/>
      <c r="BF266" s="1187"/>
      <c r="BG266" s="1187"/>
    </row>
    <row r="267" spans="18:59" x14ac:dyDescent="0.3">
      <c r="R267" s="1187"/>
      <c r="S267" s="1187"/>
      <c r="W267" s="1187"/>
      <c r="X267" s="1187"/>
      <c r="AE267" s="1187"/>
      <c r="AF267" s="1187"/>
      <c r="AV267" s="1187"/>
      <c r="AW267" s="1187"/>
      <c r="AX267" s="1187"/>
      <c r="AY267" s="1187"/>
      <c r="AZ267" s="1187"/>
      <c r="BA267" s="1187"/>
      <c r="BC267" s="1187"/>
      <c r="BE267" s="1187"/>
      <c r="BF267" s="1187"/>
      <c r="BG267" s="1187"/>
    </row>
    <row r="268" spans="18:59" x14ac:dyDescent="0.3">
      <c r="R268" s="1187"/>
      <c r="S268" s="1187"/>
      <c r="W268" s="1187"/>
      <c r="X268" s="1187"/>
      <c r="AE268" s="1187"/>
      <c r="AF268" s="1187"/>
      <c r="AV268" s="1187"/>
      <c r="AW268" s="1187"/>
      <c r="AX268" s="1187"/>
      <c r="AY268" s="1187"/>
      <c r="AZ268" s="1187"/>
      <c r="BA268" s="1187"/>
      <c r="BC268" s="1187"/>
      <c r="BE268" s="1187"/>
      <c r="BF268" s="1187"/>
      <c r="BG268" s="1187"/>
    </row>
    <row r="269" spans="18:59" x14ac:dyDescent="0.3">
      <c r="R269" s="1187"/>
      <c r="S269" s="1187"/>
      <c r="W269" s="1187"/>
      <c r="X269" s="1187"/>
      <c r="AE269" s="1187"/>
      <c r="AF269" s="1187"/>
      <c r="AV269" s="1187"/>
      <c r="AW269" s="1187"/>
      <c r="AX269" s="1187"/>
      <c r="AY269" s="1187"/>
      <c r="AZ269" s="1187"/>
      <c r="BA269" s="1187"/>
      <c r="BC269" s="1187"/>
      <c r="BE269" s="1187"/>
      <c r="BF269" s="1187"/>
      <c r="BG269" s="1187"/>
    </row>
    <row r="270" spans="18:59" x14ac:dyDescent="0.3">
      <c r="R270" s="1187"/>
      <c r="S270" s="1187"/>
      <c r="W270" s="1187"/>
      <c r="X270" s="1187"/>
      <c r="AE270" s="1187"/>
      <c r="AF270" s="1187"/>
      <c r="AV270" s="1187"/>
      <c r="AW270" s="1187"/>
      <c r="AX270" s="1187"/>
      <c r="AY270" s="1187"/>
      <c r="AZ270" s="1187"/>
      <c r="BA270" s="1187"/>
      <c r="BC270" s="1187"/>
      <c r="BE270" s="1187"/>
      <c r="BF270" s="1187"/>
      <c r="BG270" s="1187"/>
    </row>
    <row r="271" spans="18:59" x14ac:dyDescent="0.3">
      <c r="R271" s="1187"/>
      <c r="S271" s="1187"/>
      <c r="W271" s="1187"/>
      <c r="X271" s="1187"/>
      <c r="AE271" s="1187"/>
      <c r="AF271" s="1187"/>
      <c r="AV271" s="1187"/>
      <c r="AW271" s="1187"/>
      <c r="AX271" s="1187"/>
      <c r="AY271" s="1187"/>
      <c r="AZ271" s="1187"/>
      <c r="BA271" s="1187"/>
      <c r="BC271" s="1187"/>
      <c r="BE271" s="1187"/>
      <c r="BF271" s="1187"/>
      <c r="BG271" s="1187"/>
    </row>
    <row r="272" spans="18:59" x14ac:dyDescent="0.3">
      <c r="R272" s="1187"/>
      <c r="S272" s="1187"/>
      <c r="W272" s="1187"/>
      <c r="X272" s="1187"/>
      <c r="AE272" s="1187"/>
      <c r="AF272" s="1187"/>
      <c r="AV272" s="1187"/>
      <c r="AW272" s="1187"/>
      <c r="AX272" s="1187"/>
      <c r="AY272" s="1187"/>
      <c r="AZ272" s="1187"/>
      <c r="BA272" s="1187"/>
      <c r="BC272" s="1187"/>
      <c r="BE272" s="1187"/>
      <c r="BF272" s="1187"/>
      <c r="BG272" s="1187"/>
    </row>
    <row r="273" spans="18:59" x14ac:dyDescent="0.3">
      <c r="R273" s="1187"/>
      <c r="S273" s="1187"/>
      <c r="W273" s="1187"/>
      <c r="X273" s="1187"/>
      <c r="AE273" s="1187"/>
      <c r="AF273" s="1187"/>
      <c r="AV273" s="1187"/>
      <c r="AW273" s="1187"/>
      <c r="AX273" s="1187"/>
      <c r="AY273" s="1187"/>
      <c r="AZ273" s="1187"/>
      <c r="BA273" s="1187"/>
      <c r="BC273" s="1187"/>
      <c r="BE273" s="1187"/>
      <c r="BF273" s="1187"/>
      <c r="BG273" s="1187"/>
    </row>
    <row r="274" spans="18:59" x14ac:dyDescent="0.3">
      <c r="R274" s="1187"/>
      <c r="S274" s="1187"/>
      <c r="W274" s="1187"/>
      <c r="X274" s="1187"/>
      <c r="AE274" s="1187"/>
      <c r="AF274" s="1187"/>
      <c r="AV274" s="1187"/>
      <c r="AW274" s="1187"/>
      <c r="AX274" s="1187"/>
      <c r="AY274" s="1187"/>
      <c r="AZ274" s="1187"/>
      <c r="BA274" s="1187"/>
      <c r="BC274" s="1187"/>
      <c r="BE274" s="1187"/>
      <c r="BF274" s="1187"/>
      <c r="BG274" s="1187"/>
    </row>
    <row r="275" spans="18:59" x14ac:dyDescent="0.3">
      <c r="R275" s="1187"/>
      <c r="S275" s="1187"/>
      <c r="W275" s="1187"/>
      <c r="X275" s="1187"/>
      <c r="AE275" s="1187"/>
      <c r="AF275" s="1187"/>
      <c r="AV275" s="1187"/>
      <c r="AW275" s="1187"/>
      <c r="AX275" s="1187"/>
      <c r="AY275" s="1187"/>
      <c r="AZ275" s="1187"/>
      <c r="BA275" s="1187"/>
      <c r="BC275" s="1187"/>
      <c r="BE275" s="1187"/>
      <c r="BF275" s="1187"/>
      <c r="BG275" s="1187"/>
    </row>
    <row r="276" spans="18:59" x14ac:dyDescent="0.3">
      <c r="R276" s="1187"/>
      <c r="S276" s="1187"/>
      <c r="W276" s="1187"/>
      <c r="X276" s="1187"/>
      <c r="AE276" s="1187"/>
      <c r="AF276" s="1187"/>
      <c r="AV276" s="1187"/>
      <c r="AW276" s="1187"/>
      <c r="AX276" s="1187"/>
      <c r="AY276" s="1187"/>
      <c r="AZ276" s="1187"/>
      <c r="BA276" s="1187"/>
      <c r="BC276" s="1187"/>
      <c r="BE276" s="1187"/>
      <c r="BF276" s="1187"/>
      <c r="BG276" s="1187"/>
    </row>
    <row r="277" spans="18:59" x14ac:dyDescent="0.3">
      <c r="R277" s="1187"/>
      <c r="S277" s="1187"/>
      <c r="W277" s="1187"/>
      <c r="X277" s="1187"/>
      <c r="AE277" s="1187"/>
      <c r="AF277" s="1187"/>
      <c r="AV277" s="1187"/>
      <c r="AW277" s="1187"/>
      <c r="AX277" s="1187"/>
      <c r="AY277" s="1187"/>
      <c r="AZ277" s="1187"/>
      <c r="BA277" s="1187"/>
      <c r="BC277" s="1187"/>
      <c r="BE277" s="1187"/>
      <c r="BF277" s="1187"/>
      <c r="BG277" s="1187"/>
    </row>
    <row r="278" spans="18:59" x14ac:dyDescent="0.3">
      <c r="R278" s="1187"/>
      <c r="S278" s="1187"/>
      <c r="W278" s="1187"/>
      <c r="X278" s="1187"/>
      <c r="AE278" s="1187"/>
      <c r="AF278" s="1187"/>
      <c r="AV278" s="1187"/>
      <c r="AW278" s="1187"/>
      <c r="AX278" s="1187"/>
      <c r="AY278" s="1187"/>
      <c r="AZ278" s="1187"/>
      <c r="BA278" s="1187"/>
      <c r="BC278" s="1187"/>
      <c r="BE278" s="1187"/>
      <c r="BF278" s="1187"/>
      <c r="BG278" s="1187"/>
    </row>
    <row r="279" spans="18:59" x14ac:dyDescent="0.3">
      <c r="R279" s="1187"/>
      <c r="S279" s="1187"/>
      <c r="W279" s="1187"/>
      <c r="X279" s="1187"/>
      <c r="AE279" s="1187"/>
      <c r="AF279" s="1187"/>
      <c r="AV279" s="1187"/>
      <c r="AW279" s="1187"/>
      <c r="AX279" s="1187"/>
      <c r="AY279" s="1187"/>
      <c r="AZ279" s="1187"/>
      <c r="BA279" s="1187"/>
      <c r="BC279" s="1187"/>
      <c r="BE279" s="1187"/>
      <c r="BF279" s="1187"/>
      <c r="BG279" s="1187"/>
    </row>
    <row r="280" spans="18:59" x14ac:dyDescent="0.3">
      <c r="R280" s="1187"/>
      <c r="S280" s="1187"/>
      <c r="W280" s="1187"/>
      <c r="X280" s="1187"/>
      <c r="AE280" s="1187"/>
      <c r="AF280" s="1187"/>
      <c r="AV280" s="1187"/>
      <c r="AW280" s="1187"/>
      <c r="AX280" s="1187"/>
      <c r="AY280" s="1187"/>
      <c r="AZ280" s="1187"/>
      <c r="BA280" s="1187"/>
      <c r="BC280" s="1187"/>
      <c r="BE280" s="1187"/>
      <c r="BF280" s="1187"/>
      <c r="BG280" s="1187"/>
    </row>
    <row r="281" spans="18:59" x14ac:dyDescent="0.3">
      <c r="R281" s="1187"/>
      <c r="S281" s="1187"/>
      <c r="W281" s="1187"/>
      <c r="X281" s="1187"/>
      <c r="AE281" s="1187"/>
      <c r="AF281" s="1187"/>
      <c r="AV281" s="1187"/>
      <c r="AW281" s="1187"/>
      <c r="AX281" s="1187"/>
      <c r="AY281" s="1187"/>
      <c r="AZ281" s="1187"/>
      <c r="BA281" s="1187"/>
      <c r="BC281" s="1187"/>
      <c r="BE281" s="1187"/>
      <c r="BF281" s="1187"/>
      <c r="BG281" s="1187"/>
    </row>
    <row r="282" spans="18:59" x14ac:dyDescent="0.3">
      <c r="R282" s="1187"/>
      <c r="S282" s="1187"/>
      <c r="W282" s="1187"/>
      <c r="X282" s="1187"/>
      <c r="AE282" s="1187"/>
      <c r="AF282" s="1187"/>
      <c r="AV282" s="1187"/>
      <c r="AW282" s="1187"/>
      <c r="AX282" s="1187"/>
      <c r="AY282" s="1187"/>
      <c r="AZ282" s="1187"/>
      <c r="BA282" s="1187"/>
      <c r="BC282" s="1187"/>
      <c r="BE282" s="1187"/>
      <c r="BF282" s="1187"/>
      <c r="BG282" s="1187"/>
    </row>
    <row r="283" spans="18:59" x14ac:dyDescent="0.3">
      <c r="R283" s="1187"/>
      <c r="S283" s="1187"/>
      <c r="W283" s="1187"/>
      <c r="X283" s="1187"/>
      <c r="AE283" s="1187"/>
      <c r="AF283" s="1187"/>
      <c r="AV283" s="1187"/>
      <c r="AW283" s="1187"/>
      <c r="AX283" s="1187"/>
      <c r="AY283" s="1187"/>
      <c r="AZ283" s="1187"/>
      <c r="BA283" s="1187"/>
      <c r="BC283" s="1187"/>
      <c r="BE283" s="1187"/>
      <c r="BF283" s="1187"/>
      <c r="BG283" s="1187"/>
    </row>
    <row r="284" spans="18:59" x14ac:dyDescent="0.3">
      <c r="R284" s="1187"/>
      <c r="S284" s="1187"/>
      <c r="W284" s="1187"/>
      <c r="X284" s="1187"/>
      <c r="AE284" s="1187"/>
      <c r="AF284" s="1187"/>
      <c r="AV284" s="1187"/>
      <c r="AW284" s="1187"/>
      <c r="AX284" s="1187"/>
      <c r="AY284" s="1187"/>
      <c r="AZ284" s="1187"/>
      <c r="BA284" s="1187"/>
      <c r="BC284" s="1187"/>
      <c r="BE284" s="1187"/>
      <c r="BF284" s="1187"/>
      <c r="BG284" s="1187"/>
    </row>
    <row r="285" spans="18:59" x14ac:dyDescent="0.3">
      <c r="R285" s="1187"/>
      <c r="S285" s="1187"/>
      <c r="W285" s="1187"/>
      <c r="X285" s="1187"/>
      <c r="AE285" s="1187"/>
      <c r="AF285" s="1187"/>
      <c r="AV285" s="1187"/>
      <c r="AW285" s="1187"/>
      <c r="AX285" s="1187"/>
      <c r="AY285" s="1187"/>
      <c r="AZ285" s="1187"/>
      <c r="BA285" s="1187"/>
      <c r="BC285" s="1187"/>
      <c r="BE285" s="1187"/>
      <c r="BF285" s="1187"/>
      <c r="BG285" s="1187"/>
    </row>
    <row r="286" spans="18:59" x14ac:dyDescent="0.3">
      <c r="R286" s="1187"/>
      <c r="S286" s="1187"/>
      <c r="W286" s="1187"/>
      <c r="X286" s="1187"/>
      <c r="AE286" s="1187"/>
      <c r="AF286" s="1187"/>
      <c r="AV286" s="1187"/>
      <c r="AW286" s="1187"/>
      <c r="AX286" s="1187"/>
      <c r="AY286" s="1187"/>
      <c r="AZ286" s="1187"/>
      <c r="BA286" s="1187"/>
      <c r="BC286" s="1187"/>
      <c r="BE286" s="1187"/>
      <c r="BF286" s="1187"/>
      <c r="BG286" s="1187"/>
    </row>
    <row r="287" spans="18:59" x14ac:dyDescent="0.3">
      <c r="R287" s="1187"/>
      <c r="S287" s="1187"/>
      <c r="W287" s="1187"/>
      <c r="X287" s="1187"/>
      <c r="AE287" s="1187"/>
      <c r="AF287" s="1187"/>
      <c r="AV287" s="1187"/>
      <c r="AW287" s="1187"/>
      <c r="AX287" s="1187"/>
      <c r="AY287" s="1187"/>
      <c r="AZ287" s="1187"/>
      <c r="BA287" s="1187"/>
      <c r="BC287" s="1187"/>
      <c r="BE287" s="1187"/>
      <c r="BF287" s="1187"/>
      <c r="BG287" s="1187"/>
    </row>
    <row r="288" spans="18:59" x14ac:dyDescent="0.3">
      <c r="R288" s="1187"/>
      <c r="S288" s="1187"/>
      <c r="W288" s="1187"/>
      <c r="X288" s="1187"/>
      <c r="AE288" s="1187"/>
      <c r="AF288" s="1187"/>
      <c r="AV288" s="1187"/>
      <c r="AW288" s="1187"/>
      <c r="AX288" s="1187"/>
      <c r="AY288" s="1187"/>
      <c r="AZ288" s="1187"/>
      <c r="BA288" s="1187"/>
      <c r="BC288" s="1187"/>
      <c r="BE288" s="1187"/>
      <c r="BF288" s="1187"/>
      <c r="BG288" s="1187"/>
    </row>
    <row r="289" spans="18:59" x14ac:dyDescent="0.3">
      <c r="R289" s="1187"/>
      <c r="S289" s="1187"/>
      <c r="W289" s="1187"/>
      <c r="X289" s="1187"/>
      <c r="AE289" s="1187"/>
      <c r="AF289" s="1187"/>
      <c r="AV289" s="1187"/>
      <c r="AW289" s="1187"/>
      <c r="AX289" s="1187"/>
      <c r="AY289" s="1187"/>
      <c r="AZ289" s="1187"/>
      <c r="BA289" s="1187"/>
      <c r="BC289" s="1187"/>
      <c r="BE289" s="1187"/>
      <c r="BF289" s="1187"/>
      <c r="BG289" s="1187"/>
    </row>
    <row r="290" spans="18:59" x14ac:dyDescent="0.3">
      <c r="R290" s="1187"/>
      <c r="S290" s="1187"/>
      <c r="W290" s="1187"/>
      <c r="X290" s="1187"/>
      <c r="AE290" s="1187"/>
      <c r="AF290" s="1187"/>
      <c r="AV290" s="1187"/>
      <c r="AW290" s="1187"/>
      <c r="AX290" s="1187"/>
      <c r="AY290" s="1187"/>
      <c r="AZ290" s="1187"/>
      <c r="BA290" s="1187"/>
      <c r="BC290" s="1187"/>
      <c r="BE290" s="1187"/>
      <c r="BF290" s="1187"/>
      <c r="BG290" s="1187"/>
    </row>
    <row r="291" spans="18:59" x14ac:dyDescent="0.3">
      <c r="R291" s="1187"/>
      <c r="S291" s="1187"/>
      <c r="W291" s="1187"/>
      <c r="X291" s="1187"/>
      <c r="AE291" s="1187"/>
      <c r="AF291" s="1187"/>
      <c r="AV291" s="1187"/>
      <c r="AW291" s="1187"/>
      <c r="AX291" s="1187"/>
      <c r="AY291" s="1187"/>
      <c r="AZ291" s="1187"/>
      <c r="BA291" s="1187"/>
      <c r="BC291" s="1187"/>
      <c r="BE291" s="1187"/>
      <c r="BF291" s="1187"/>
      <c r="BG291" s="1187"/>
    </row>
    <row r="292" spans="18:59" x14ac:dyDescent="0.3">
      <c r="R292" s="1187"/>
      <c r="S292" s="1187"/>
      <c r="W292" s="1187"/>
      <c r="X292" s="1187"/>
      <c r="AE292" s="1187"/>
      <c r="AF292" s="1187"/>
      <c r="AV292" s="1187"/>
      <c r="AW292" s="1187"/>
      <c r="AX292" s="1187"/>
      <c r="AY292" s="1187"/>
      <c r="AZ292" s="1187"/>
      <c r="BA292" s="1187"/>
      <c r="BC292" s="1187"/>
      <c r="BE292" s="1187"/>
      <c r="BF292" s="1187"/>
      <c r="BG292" s="1187"/>
    </row>
    <row r="293" spans="18:59" x14ac:dyDescent="0.3">
      <c r="R293" s="1187"/>
      <c r="S293" s="1187"/>
      <c r="W293" s="1187"/>
      <c r="X293" s="1187"/>
      <c r="AE293" s="1187"/>
      <c r="AF293" s="1187"/>
      <c r="AV293" s="1187"/>
      <c r="AW293" s="1187"/>
      <c r="AX293" s="1187"/>
      <c r="AY293" s="1187"/>
      <c r="AZ293" s="1187"/>
      <c r="BA293" s="1187"/>
      <c r="BC293" s="1187"/>
      <c r="BE293" s="1187"/>
      <c r="BF293" s="1187"/>
      <c r="BG293" s="1187"/>
    </row>
    <row r="294" spans="18:59" x14ac:dyDescent="0.3">
      <c r="R294" s="1187"/>
      <c r="S294" s="1187"/>
      <c r="W294" s="1187"/>
      <c r="X294" s="1187"/>
      <c r="AE294" s="1187"/>
      <c r="AF294" s="1187"/>
      <c r="AV294" s="1187"/>
      <c r="AW294" s="1187"/>
      <c r="AX294" s="1187"/>
      <c r="AY294" s="1187"/>
      <c r="AZ294" s="1187"/>
      <c r="BA294" s="1187"/>
      <c r="BC294" s="1187"/>
      <c r="BE294" s="1187"/>
      <c r="BF294" s="1187"/>
      <c r="BG294" s="1187"/>
    </row>
    <row r="295" spans="18:59" x14ac:dyDescent="0.3">
      <c r="R295" s="1187"/>
      <c r="S295" s="1187"/>
      <c r="W295" s="1187"/>
      <c r="X295" s="1187"/>
      <c r="AE295" s="1187"/>
      <c r="AF295" s="1187"/>
      <c r="AV295" s="1187"/>
      <c r="AW295" s="1187"/>
      <c r="AX295" s="1187"/>
      <c r="AY295" s="1187"/>
      <c r="AZ295" s="1187"/>
      <c r="BA295" s="1187"/>
      <c r="BC295" s="1187"/>
      <c r="BE295" s="1187"/>
      <c r="BF295" s="1187"/>
      <c r="BG295" s="1187"/>
    </row>
    <row r="296" spans="18:59" x14ac:dyDescent="0.3">
      <c r="R296" s="1187"/>
      <c r="S296" s="1187"/>
      <c r="W296" s="1187"/>
      <c r="X296" s="1187"/>
      <c r="AE296" s="1187"/>
      <c r="AF296" s="1187"/>
      <c r="AV296" s="1187"/>
      <c r="AW296" s="1187"/>
      <c r="AX296" s="1187"/>
      <c r="AY296" s="1187"/>
      <c r="AZ296" s="1187"/>
      <c r="BA296" s="1187"/>
      <c r="BC296" s="1187"/>
      <c r="BE296" s="1187"/>
      <c r="BF296" s="1187"/>
      <c r="BG296" s="1187"/>
    </row>
    <row r="297" spans="18:59" x14ac:dyDescent="0.3">
      <c r="R297" s="1187"/>
      <c r="S297" s="1187"/>
      <c r="W297" s="1187"/>
      <c r="X297" s="1187"/>
      <c r="AE297" s="1187"/>
      <c r="AF297" s="1187"/>
      <c r="AV297" s="1187"/>
      <c r="AW297" s="1187"/>
      <c r="AX297" s="1187"/>
      <c r="AY297" s="1187"/>
      <c r="AZ297" s="1187"/>
      <c r="BA297" s="1187"/>
      <c r="BC297" s="1187"/>
      <c r="BE297" s="1187"/>
      <c r="BF297" s="1187"/>
      <c r="BG297" s="1187"/>
    </row>
    <row r="298" spans="18:59" x14ac:dyDescent="0.3">
      <c r="R298" s="1187"/>
      <c r="S298" s="1187"/>
      <c r="W298" s="1187"/>
      <c r="X298" s="1187"/>
      <c r="AE298" s="1187"/>
      <c r="AF298" s="1187"/>
      <c r="AV298" s="1187"/>
      <c r="AW298" s="1187"/>
      <c r="AX298" s="1187"/>
      <c r="AY298" s="1187"/>
      <c r="AZ298" s="1187"/>
      <c r="BA298" s="1187"/>
      <c r="BC298" s="1187"/>
      <c r="BE298" s="1187"/>
      <c r="BF298" s="1187"/>
      <c r="BG298" s="1187"/>
    </row>
    <row r="299" spans="18:59" x14ac:dyDescent="0.3">
      <c r="R299" s="1187"/>
      <c r="S299" s="1187"/>
      <c r="W299" s="1187"/>
      <c r="X299" s="1187"/>
      <c r="AE299" s="1187"/>
      <c r="AF299" s="1187"/>
      <c r="AV299" s="1187"/>
      <c r="AW299" s="1187"/>
      <c r="AX299" s="1187"/>
      <c r="AY299" s="1187"/>
      <c r="AZ299" s="1187"/>
      <c r="BA299" s="1187"/>
      <c r="BC299" s="1187"/>
      <c r="BE299" s="1187"/>
      <c r="BF299" s="1187"/>
      <c r="BG299" s="1187"/>
    </row>
    <row r="300" spans="18:59" x14ac:dyDescent="0.3">
      <c r="R300" s="1187"/>
      <c r="S300" s="1187"/>
      <c r="W300" s="1187"/>
      <c r="X300" s="1187"/>
      <c r="AE300" s="1187"/>
      <c r="AF300" s="1187"/>
      <c r="AV300" s="1187"/>
      <c r="AW300" s="1187"/>
      <c r="AX300" s="1187"/>
      <c r="AY300" s="1187"/>
      <c r="AZ300" s="1187"/>
      <c r="BA300" s="1187"/>
      <c r="BC300" s="1187"/>
      <c r="BE300" s="1187"/>
      <c r="BF300" s="1187"/>
      <c r="BG300" s="1187"/>
    </row>
    <row r="301" spans="18:59" x14ac:dyDescent="0.3">
      <c r="R301" s="1187"/>
      <c r="S301" s="1187"/>
      <c r="W301" s="1187"/>
      <c r="X301" s="1187"/>
      <c r="AE301" s="1187"/>
      <c r="AF301" s="1187"/>
      <c r="AV301" s="1187"/>
      <c r="AW301" s="1187"/>
      <c r="AX301" s="1187"/>
      <c r="AY301" s="1187"/>
      <c r="AZ301" s="1187"/>
      <c r="BA301" s="1187"/>
      <c r="BC301" s="1187"/>
      <c r="BE301" s="1187"/>
      <c r="BF301" s="1187"/>
      <c r="BG301" s="1187"/>
    </row>
    <row r="302" spans="18:59" x14ac:dyDescent="0.3">
      <c r="R302" s="1187"/>
      <c r="S302" s="1187"/>
      <c r="W302" s="1187"/>
      <c r="X302" s="1187"/>
      <c r="AE302" s="1187"/>
      <c r="AF302" s="1187"/>
      <c r="AV302" s="1187"/>
      <c r="AW302" s="1187"/>
      <c r="AX302" s="1187"/>
      <c r="AY302" s="1187"/>
      <c r="AZ302" s="1187"/>
      <c r="BA302" s="1187"/>
      <c r="BC302" s="1187"/>
      <c r="BE302" s="1187"/>
      <c r="BF302" s="1187"/>
      <c r="BG302" s="1187"/>
    </row>
    <row r="303" spans="18:59" x14ac:dyDescent="0.3">
      <c r="R303" s="1187"/>
      <c r="S303" s="1187"/>
      <c r="W303" s="1187"/>
      <c r="X303" s="1187"/>
      <c r="AE303" s="1187"/>
      <c r="AF303" s="1187"/>
      <c r="AV303" s="1187"/>
      <c r="AW303" s="1187"/>
      <c r="AX303" s="1187"/>
      <c r="AY303" s="1187"/>
      <c r="AZ303" s="1187"/>
      <c r="BA303" s="1187"/>
      <c r="BC303" s="1187"/>
      <c r="BE303" s="1187"/>
      <c r="BF303" s="1187"/>
      <c r="BG303" s="1187"/>
    </row>
    <row r="304" spans="18:59" x14ac:dyDescent="0.3">
      <c r="R304" s="1187"/>
      <c r="S304" s="1187"/>
      <c r="W304" s="1187"/>
      <c r="X304" s="1187"/>
      <c r="AE304" s="1187"/>
      <c r="AF304" s="1187"/>
      <c r="AV304" s="1187"/>
      <c r="AW304" s="1187"/>
      <c r="AX304" s="1187"/>
      <c r="AY304" s="1187"/>
      <c r="AZ304" s="1187"/>
      <c r="BA304" s="1187"/>
      <c r="BC304" s="1187"/>
      <c r="BE304" s="1187"/>
      <c r="BF304" s="1187"/>
      <c r="BG304" s="1187"/>
    </row>
    <row r="305" spans="18:59" x14ac:dyDescent="0.3">
      <c r="R305" s="1187"/>
      <c r="S305" s="1187"/>
      <c r="W305" s="1187"/>
      <c r="X305" s="1187"/>
      <c r="AE305" s="1187"/>
      <c r="AF305" s="1187"/>
      <c r="AV305" s="1187"/>
      <c r="AW305" s="1187"/>
      <c r="AX305" s="1187"/>
      <c r="AY305" s="1187"/>
      <c r="AZ305" s="1187"/>
      <c r="BA305" s="1187"/>
      <c r="BC305" s="1187"/>
      <c r="BE305" s="1187"/>
      <c r="BF305" s="1187"/>
      <c r="BG305" s="1187"/>
    </row>
    <row r="306" spans="18:59" x14ac:dyDescent="0.3">
      <c r="R306" s="1187"/>
      <c r="S306" s="1187"/>
      <c r="W306" s="1187"/>
      <c r="X306" s="1187"/>
      <c r="AE306" s="1187"/>
      <c r="AF306" s="1187"/>
      <c r="AV306" s="1187"/>
      <c r="AW306" s="1187"/>
      <c r="AX306" s="1187"/>
      <c r="AY306" s="1187"/>
      <c r="AZ306" s="1187"/>
      <c r="BA306" s="1187"/>
      <c r="BC306" s="1187"/>
      <c r="BE306" s="1187"/>
      <c r="BF306" s="1187"/>
      <c r="BG306" s="1187"/>
    </row>
    <row r="307" spans="18:59" x14ac:dyDescent="0.3">
      <c r="R307" s="1187"/>
      <c r="S307" s="1187"/>
      <c r="W307" s="1187"/>
      <c r="X307" s="1187"/>
      <c r="AE307" s="1187"/>
      <c r="AF307" s="1187"/>
      <c r="AV307" s="1187"/>
      <c r="AW307" s="1187"/>
      <c r="AX307" s="1187"/>
      <c r="AY307" s="1187"/>
      <c r="AZ307" s="1187"/>
      <c r="BA307" s="1187"/>
      <c r="BC307" s="1187"/>
      <c r="BE307" s="1187"/>
      <c r="BF307" s="1187"/>
      <c r="BG307" s="1187"/>
    </row>
    <row r="308" spans="18:59" x14ac:dyDescent="0.3">
      <c r="R308" s="1187"/>
      <c r="S308" s="1187"/>
      <c r="W308" s="1187"/>
      <c r="X308" s="1187"/>
      <c r="AE308" s="1187"/>
      <c r="AF308" s="1187"/>
      <c r="AV308" s="1187"/>
      <c r="AW308" s="1187"/>
      <c r="AX308" s="1187"/>
      <c r="AY308" s="1187"/>
      <c r="AZ308" s="1187"/>
      <c r="BA308" s="1187"/>
      <c r="BC308" s="1187"/>
      <c r="BE308" s="1187"/>
      <c r="BF308" s="1187"/>
      <c r="BG308" s="1187"/>
    </row>
    <row r="309" spans="18:59" x14ac:dyDescent="0.3">
      <c r="R309" s="1187"/>
      <c r="S309" s="1187"/>
      <c r="W309" s="1187"/>
      <c r="X309" s="1187"/>
      <c r="AE309" s="1187"/>
      <c r="AF309" s="1187"/>
      <c r="AV309" s="1187"/>
      <c r="AW309" s="1187"/>
      <c r="AX309" s="1187"/>
      <c r="AY309" s="1187"/>
      <c r="AZ309" s="1187"/>
      <c r="BA309" s="1187"/>
      <c r="BC309" s="1187"/>
      <c r="BE309" s="1187"/>
      <c r="BF309" s="1187"/>
      <c r="BG309" s="1187"/>
    </row>
    <row r="310" spans="18:59" x14ac:dyDescent="0.3">
      <c r="R310" s="1187"/>
      <c r="S310" s="1187"/>
      <c r="W310" s="1187"/>
      <c r="X310" s="1187"/>
      <c r="AE310" s="1187"/>
      <c r="AF310" s="1187"/>
      <c r="AV310" s="1187"/>
      <c r="AW310" s="1187"/>
      <c r="AX310" s="1187"/>
      <c r="AY310" s="1187"/>
      <c r="AZ310" s="1187"/>
      <c r="BA310" s="1187"/>
      <c r="BC310" s="1187"/>
      <c r="BE310" s="1187"/>
      <c r="BF310" s="1187"/>
      <c r="BG310" s="1187"/>
    </row>
    <row r="311" spans="18:59" x14ac:dyDescent="0.3">
      <c r="R311" s="1187"/>
      <c r="S311" s="1187"/>
      <c r="W311" s="1187"/>
      <c r="X311" s="1187"/>
      <c r="AE311" s="1187"/>
      <c r="AF311" s="1187"/>
      <c r="AV311" s="1187"/>
      <c r="AW311" s="1187"/>
      <c r="AX311" s="1187"/>
      <c r="AY311" s="1187"/>
      <c r="AZ311" s="1187"/>
      <c r="BA311" s="1187"/>
      <c r="BC311" s="1187"/>
      <c r="BE311" s="1187"/>
      <c r="BF311" s="1187"/>
      <c r="BG311" s="1187"/>
    </row>
    <row r="312" spans="18:59" x14ac:dyDescent="0.3">
      <c r="R312" s="1187"/>
      <c r="S312" s="1187"/>
      <c r="W312" s="1187"/>
      <c r="X312" s="1187"/>
      <c r="AE312" s="1187"/>
      <c r="AF312" s="1187"/>
      <c r="AV312" s="1187"/>
      <c r="AW312" s="1187"/>
      <c r="AX312" s="1187"/>
      <c r="AY312" s="1187"/>
      <c r="AZ312" s="1187"/>
      <c r="BA312" s="1187"/>
      <c r="BC312" s="1187"/>
      <c r="BE312" s="1187"/>
      <c r="BF312" s="1187"/>
      <c r="BG312" s="1187"/>
    </row>
    <row r="313" spans="18:59" x14ac:dyDescent="0.3">
      <c r="R313" s="1187"/>
      <c r="S313" s="1187"/>
      <c r="W313" s="1187"/>
      <c r="X313" s="1187"/>
      <c r="AE313" s="1187"/>
      <c r="AF313" s="1187"/>
      <c r="AV313" s="1187"/>
      <c r="AW313" s="1187"/>
      <c r="AX313" s="1187"/>
      <c r="AY313" s="1187"/>
      <c r="AZ313" s="1187"/>
      <c r="BA313" s="1187"/>
      <c r="BC313" s="1187"/>
      <c r="BE313" s="1187"/>
      <c r="BF313" s="1187"/>
      <c r="BG313" s="1187"/>
    </row>
    <row r="314" spans="18:59" x14ac:dyDescent="0.3">
      <c r="R314" s="1187"/>
      <c r="S314" s="1187"/>
      <c r="W314" s="1187"/>
      <c r="X314" s="1187"/>
      <c r="AE314" s="1187"/>
      <c r="AF314" s="1187"/>
      <c r="AV314" s="1187"/>
      <c r="AW314" s="1187"/>
      <c r="AX314" s="1187"/>
      <c r="AY314" s="1187"/>
      <c r="AZ314" s="1187"/>
      <c r="BA314" s="1187"/>
      <c r="BC314" s="1187"/>
      <c r="BE314" s="1187"/>
      <c r="BF314" s="1187"/>
      <c r="BG314" s="1187"/>
    </row>
    <row r="315" spans="18:59" x14ac:dyDescent="0.3">
      <c r="R315" s="1187"/>
      <c r="S315" s="1187"/>
      <c r="W315" s="1187"/>
      <c r="X315" s="1187"/>
      <c r="AE315" s="1187"/>
      <c r="AF315" s="1187"/>
      <c r="AV315" s="1187"/>
      <c r="AW315" s="1187"/>
      <c r="AX315" s="1187"/>
      <c r="AY315" s="1187"/>
      <c r="AZ315" s="1187"/>
      <c r="BA315" s="1187"/>
      <c r="BC315" s="1187"/>
      <c r="BE315" s="1187"/>
      <c r="BF315" s="1187"/>
      <c r="BG315" s="1187"/>
    </row>
    <row r="316" spans="18:59" x14ac:dyDescent="0.3">
      <c r="R316" s="1187"/>
      <c r="S316" s="1187"/>
      <c r="W316" s="1187"/>
      <c r="X316" s="1187"/>
      <c r="AE316" s="1187"/>
      <c r="AF316" s="1187"/>
      <c r="AV316" s="1187"/>
      <c r="AW316" s="1187"/>
      <c r="AX316" s="1187"/>
      <c r="AY316" s="1187"/>
      <c r="AZ316" s="1187"/>
      <c r="BA316" s="1187"/>
      <c r="BC316" s="1187"/>
      <c r="BE316" s="1187"/>
      <c r="BF316" s="1187"/>
      <c r="BG316" s="1187"/>
    </row>
    <row r="317" spans="18:59" x14ac:dyDescent="0.3">
      <c r="R317" s="1187"/>
      <c r="S317" s="1187"/>
      <c r="W317" s="1187"/>
      <c r="X317" s="1187"/>
      <c r="AE317" s="1187"/>
      <c r="AF317" s="1187"/>
      <c r="AV317" s="1187"/>
      <c r="AW317" s="1187"/>
      <c r="AX317" s="1187"/>
      <c r="AY317" s="1187"/>
      <c r="AZ317" s="1187"/>
      <c r="BA317" s="1187"/>
      <c r="BC317" s="1187"/>
      <c r="BE317" s="1187"/>
      <c r="BF317" s="1187"/>
      <c r="BG317" s="1187"/>
    </row>
    <row r="318" spans="18:59" x14ac:dyDescent="0.3">
      <c r="R318" s="1187"/>
      <c r="S318" s="1187"/>
      <c r="W318" s="1187"/>
      <c r="X318" s="1187"/>
      <c r="AE318" s="1187"/>
      <c r="AF318" s="1187"/>
      <c r="AV318" s="1187"/>
      <c r="AW318" s="1187"/>
      <c r="AX318" s="1187"/>
      <c r="AY318" s="1187"/>
      <c r="AZ318" s="1187"/>
      <c r="BA318" s="1187"/>
      <c r="BC318" s="1187"/>
      <c r="BE318" s="1187"/>
      <c r="BF318" s="1187"/>
      <c r="BG318" s="1187"/>
    </row>
    <row r="319" spans="18:59" x14ac:dyDescent="0.3">
      <c r="R319" s="1187"/>
      <c r="S319" s="1187"/>
      <c r="W319" s="1187"/>
      <c r="X319" s="1187"/>
      <c r="AE319" s="1187"/>
      <c r="AF319" s="1187"/>
      <c r="AV319" s="1187"/>
      <c r="AW319" s="1187"/>
      <c r="AX319" s="1187"/>
      <c r="AY319" s="1187"/>
      <c r="AZ319" s="1187"/>
      <c r="BA319" s="1187"/>
      <c r="BC319" s="1187"/>
      <c r="BE319" s="1187"/>
      <c r="BF319" s="1187"/>
      <c r="BG319" s="1187"/>
    </row>
    <row r="320" spans="18:59" x14ac:dyDescent="0.3">
      <c r="R320" s="1187"/>
      <c r="S320" s="1187"/>
      <c r="W320" s="1187"/>
      <c r="X320" s="1187"/>
      <c r="AE320" s="1187"/>
      <c r="AF320" s="1187"/>
      <c r="AV320" s="1187"/>
      <c r="AW320" s="1187"/>
      <c r="AX320" s="1187"/>
      <c r="AY320" s="1187"/>
      <c r="AZ320" s="1187"/>
      <c r="BA320" s="1187"/>
      <c r="BC320" s="1187"/>
      <c r="BE320" s="1187"/>
      <c r="BF320" s="1187"/>
      <c r="BG320" s="1187"/>
    </row>
    <row r="321" spans="18:59" x14ac:dyDescent="0.3">
      <c r="R321" s="1187"/>
      <c r="S321" s="1187"/>
      <c r="W321" s="1187"/>
      <c r="X321" s="1187"/>
      <c r="AE321" s="1187"/>
      <c r="AF321" s="1187"/>
      <c r="AV321" s="1187"/>
      <c r="AW321" s="1187"/>
      <c r="AX321" s="1187"/>
      <c r="AY321" s="1187"/>
      <c r="AZ321" s="1187"/>
      <c r="BA321" s="1187"/>
      <c r="BC321" s="1187"/>
      <c r="BE321" s="1187"/>
      <c r="BF321" s="1187"/>
      <c r="BG321" s="1187"/>
    </row>
    <row r="322" spans="18:59" x14ac:dyDescent="0.3">
      <c r="R322" s="1187"/>
      <c r="S322" s="1187"/>
      <c r="W322" s="1187"/>
      <c r="X322" s="1187"/>
      <c r="AE322" s="1187"/>
      <c r="AF322" s="1187"/>
      <c r="AV322" s="1187"/>
      <c r="AW322" s="1187"/>
      <c r="AX322" s="1187"/>
      <c r="AY322" s="1187"/>
      <c r="AZ322" s="1187"/>
      <c r="BA322" s="1187"/>
      <c r="BC322" s="1187"/>
      <c r="BE322" s="1187"/>
      <c r="BF322" s="1187"/>
      <c r="BG322" s="1187"/>
    </row>
    <row r="323" spans="18:59" x14ac:dyDescent="0.3">
      <c r="R323" s="1187"/>
      <c r="S323" s="1187"/>
      <c r="W323" s="1187"/>
      <c r="X323" s="1187"/>
      <c r="AE323" s="1187"/>
      <c r="AF323" s="1187"/>
      <c r="AV323" s="1187"/>
      <c r="AW323" s="1187"/>
      <c r="AX323" s="1187"/>
      <c r="AY323" s="1187"/>
      <c r="AZ323" s="1187"/>
      <c r="BA323" s="1187"/>
      <c r="BC323" s="1187"/>
      <c r="BE323" s="1187"/>
      <c r="BF323" s="1187"/>
      <c r="BG323" s="1187"/>
    </row>
    <row r="324" spans="18:59" x14ac:dyDescent="0.3">
      <c r="R324" s="1187"/>
      <c r="S324" s="1187"/>
      <c r="W324" s="1187"/>
      <c r="X324" s="1187"/>
      <c r="AE324" s="1187"/>
      <c r="AF324" s="1187"/>
      <c r="AV324" s="1187"/>
      <c r="AW324" s="1187"/>
      <c r="AX324" s="1187"/>
      <c r="AY324" s="1187"/>
      <c r="AZ324" s="1187"/>
      <c r="BA324" s="1187"/>
      <c r="BC324" s="1187"/>
      <c r="BE324" s="1187"/>
      <c r="BF324" s="1187"/>
      <c r="BG324" s="1187"/>
    </row>
    <row r="325" spans="18:59" x14ac:dyDescent="0.3">
      <c r="R325" s="1187"/>
      <c r="S325" s="1187"/>
      <c r="W325" s="1187"/>
      <c r="X325" s="1187"/>
      <c r="AE325" s="1187"/>
      <c r="AF325" s="1187"/>
      <c r="AV325" s="1187"/>
      <c r="AW325" s="1187"/>
      <c r="AX325" s="1187"/>
      <c r="AY325" s="1187"/>
      <c r="AZ325" s="1187"/>
      <c r="BA325" s="1187"/>
      <c r="BC325" s="1187"/>
      <c r="BE325" s="1187"/>
      <c r="BF325" s="1187"/>
      <c r="BG325" s="1187"/>
    </row>
    <row r="326" spans="18:59" x14ac:dyDescent="0.3">
      <c r="R326" s="1187"/>
      <c r="S326" s="1187"/>
      <c r="W326" s="1187"/>
      <c r="X326" s="1187"/>
      <c r="AE326" s="1187"/>
      <c r="AF326" s="1187"/>
      <c r="AV326" s="1187"/>
      <c r="AW326" s="1187"/>
      <c r="AX326" s="1187"/>
      <c r="AY326" s="1187"/>
      <c r="AZ326" s="1187"/>
      <c r="BA326" s="1187"/>
      <c r="BC326" s="1187"/>
      <c r="BE326" s="1187"/>
      <c r="BF326" s="1187"/>
      <c r="BG326" s="1187"/>
    </row>
    <row r="327" spans="18:59" x14ac:dyDescent="0.3">
      <c r="R327" s="1187"/>
      <c r="S327" s="1187"/>
      <c r="W327" s="1187"/>
      <c r="X327" s="1187"/>
      <c r="AE327" s="1187"/>
      <c r="AF327" s="1187"/>
      <c r="AV327" s="1187"/>
      <c r="AW327" s="1187"/>
      <c r="AX327" s="1187"/>
      <c r="AY327" s="1187"/>
      <c r="AZ327" s="1187"/>
      <c r="BA327" s="1187"/>
      <c r="BC327" s="1187"/>
      <c r="BE327" s="1187"/>
      <c r="BF327" s="1187"/>
      <c r="BG327" s="1187"/>
    </row>
    <row r="328" spans="18:59" x14ac:dyDescent="0.3">
      <c r="R328" s="1187"/>
      <c r="S328" s="1187"/>
      <c r="W328" s="1187"/>
      <c r="X328" s="1187"/>
      <c r="AE328" s="1187"/>
      <c r="AF328" s="1187"/>
      <c r="AV328" s="1187"/>
      <c r="AW328" s="1187"/>
      <c r="AX328" s="1187"/>
      <c r="AY328" s="1187"/>
      <c r="AZ328" s="1187"/>
      <c r="BA328" s="1187"/>
      <c r="BC328" s="1187"/>
      <c r="BE328" s="1187"/>
      <c r="BF328" s="1187"/>
      <c r="BG328" s="1187"/>
    </row>
    <row r="329" spans="18:59" x14ac:dyDescent="0.3">
      <c r="R329" s="1187"/>
      <c r="S329" s="1187"/>
      <c r="W329" s="1187"/>
      <c r="X329" s="1187"/>
      <c r="AE329" s="1187"/>
      <c r="AF329" s="1187"/>
      <c r="AV329" s="1187"/>
      <c r="AW329" s="1187"/>
      <c r="AX329" s="1187"/>
      <c r="AY329" s="1187"/>
      <c r="AZ329" s="1187"/>
      <c r="BA329" s="1187"/>
      <c r="BC329" s="1187"/>
      <c r="BE329" s="1187"/>
      <c r="BF329" s="1187"/>
      <c r="BG329" s="1187"/>
    </row>
    <row r="330" spans="18:59" x14ac:dyDescent="0.3">
      <c r="R330" s="1187"/>
      <c r="S330" s="1187"/>
      <c r="W330" s="1187"/>
      <c r="X330" s="1187"/>
      <c r="AE330" s="1187"/>
      <c r="AF330" s="1187"/>
      <c r="AV330" s="1187"/>
      <c r="AW330" s="1187"/>
      <c r="AX330" s="1187"/>
      <c r="AY330" s="1187"/>
      <c r="AZ330" s="1187"/>
      <c r="BA330" s="1187"/>
      <c r="BC330" s="1187"/>
      <c r="BE330" s="1187"/>
      <c r="BF330" s="1187"/>
      <c r="BG330" s="1187"/>
    </row>
    <row r="331" spans="18:59" x14ac:dyDescent="0.3">
      <c r="R331" s="1187"/>
      <c r="S331" s="1187"/>
      <c r="W331" s="1187"/>
      <c r="X331" s="1187"/>
      <c r="AE331" s="1187"/>
      <c r="AF331" s="1187"/>
      <c r="AV331" s="1187"/>
      <c r="AW331" s="1187"/>
      <c r="AX331" s="1187"/>
      <c r="AY331" s="1187"/>
      <c r="AZ331" s="1187"/>
      <c r="BA331" s="1187"/>
      <c r="BC331" s="1187"/>
      <c r="BE331" s="1187"/>
      <c r="BF331" s="1187"/>
      <c r="BG331" s="1187"/>
    </row>
    <row r="332" spans="18:59" x14ac:dyDescent="0.3">
      <c r="R332" s="1187"/>
      <c r="S332" s="1187"/>
      <c r="W332" s="1187"/>
      <c r="X332" s="1187"/>
      <c r="AE332" s="1187"/>
      <c r="AF332" s="1187"/>
      <c r="AV332" s="1187"/>
      <c r="AW332" s="1187"/>
      <c r="AX332" s="1187"/>
      <c r="AY332" s="1187"/>
      <c r="AZ332" s="1187"/>
      <c r="BA332" s="1187"/>
      <c r="BC332" s="1187"/>
      <c r="BE332" s="1187"/>
      <c r="BF332" s="1187"/>
      <c r="BG332" s="1187"/>
    </row>
    <row r="333" spans="18:59" x14ac:dyDescent="0.3">
      <c r="R333" s="1187"/>
      <c r="S333" s="1187"/>
      <c r="W333" s="1187"/>
      <c r="X333" s="1187"/>
      <c r="AE333" s="1187"/>
      <c r="AF333" s="1187"/>
      <c r="AV333" s="1187"/>
      <c r="AW333" s="1187"/>
      <c r="AX333" s="1187"/>
      <c r="AY333" s="1187"/>
      <c r="AZ333" s="1187"/>
      <c r="BA333" s="1187"/>
      <c r="BC333" s="1187"/>
      <c r="BE333" s="1187"/>
      <c r="BF333" s="1187"/>
      <c r="BG333" s="1187"/>
    </row>
    <row r="334" spans="18:59" x14ac:dyDescent="0.3">
      <c r="R334" s="1187"/>
      <c r="S334" s="1187"/>
      <c r="W334" s="1187"/>
      <c r="X334" s="1187"/>
      <c r="AE334" s="1187"/>
      <c r="AF334" s="1187"/>
      <c r="AV334" s="1187"/>
      <c r="AW334" s="1187"/>
      <c r="AX334" s="1187"/>
      <c r="AY334" s="1187"/>
      <c r="AZ334" s="1187"/>
      <c r="BA334" s="1187"/>
      <c r="BC334" s="1187"/>
      <c r="BE334" s="1187"/>
      <c r="BF334" s="1187"/>
      <c r="BG334" s="1187"/>
    </row>
    <row r="335" spans="18:59" x14ac:dyDescent="0.3">
      <c r="R335" s="1187"/>
      <c r="S335" s="1187"/>
      <c r="W335" s="1187"/>
      <c r="X335" s="1187"/>
      <c r="AE335" s="1187"/>
      <c r="AF335" s="1187"/>
      <c r="AV335" s="1187"/>
      <c r="AW335" s="1187"/>
      <c r="AX335" s="1187"/>
      <c r="AY335" s="1187"/>
      <c r="AZ335" s="1187"/>
      <c r="BA335" s="1187"/>
      <c r="BC335" s="1187"/>
      <c r="BE335" s="1187"/>
      <c r="BF335" s="1187"/>
      <c r="BG335" s="1187"/>
    </row>
    <row r="336" spans="18:59" x14ac:dyDescent="0.3">
      <c r="R336" s="1187"/>
      <c r="S336" s="1187"/>
      <c r="W336" s="1187"/>
      <c r="X336" s="1187"/>
      <c r="AE336" s="1187"/>
      <c r="AF336" s="1187"/>
      <c r="AV336" s="1187"/>
      <c r="AW336" s="1187"/>
      <c r="AX336" s="1187"/>
      <c r="AY336" s="1187"/>
      <c r="AZ336" s="1187"/>
      <c r="BA336" s="1187"/>
      <c r="BC336" s="1187"/>
      <c r="BE336" s="1187"/>
      <c r="BF336" s="1187"/>
      <c r="BG336" s="1187"/>
    </row>
    <row r="337" spans="18:59" x14ac:dyDescent="0.3">
      <c r="R337" s="1187"/>
      <c r="S337" s="1187"/>
      <c r="W337" s="1187"/>
      <c r="X337" s="1187"/>
      <c r="AE337" s="1187"/>
      <c r="AF337" s="1187"/>
      <c r="AV337" s="1187"/>
      <c r="AW337" s="1187"/>
      <c r="AX337" s="1187"/>
      <c r="AY337" s="1187"/>
      <c r="AZ337" s="1187"/>
      <c r="BA337" s="1187"/>
      <c r="BC337" s="1187"/>
      <c r="BE337" s="1187"/>
      <c r="BF337" s="1187"/>
      <c r="BG337" s="1187"/>
    </row>
    <row r="338" spans="18:59" x14ac:dyDescent="0.3">
      <c r="R338" s="1187"/>
      <c r="S338" s="1187"/>
      <c r="W338" s="1187"/>
      <c r="X338" s="1187"/>
      <c r="AE338" s="1187"/>
      <c r="AF338" s="1187"/>
      <c r="AV338" s="1187"/>
      <c r="AW338" s="1187"/>
      <c r="AX338" s="1187"/>
      <c r="AY338" s="1187"/>
      <c r="AZ338" s="1187"/>
      <c r="BA338" s="1187"/>
      <c r="BC338" s="1187"/>
      <c r="BE338" s="1187"/>
      <c r="BF338" s="1187"/>
      <c r="BG338" s="1187"/>
    </row>
    <row r="339" spans="18:59" x14ac:dyDescent="0.3">
      <c r="R339" s="1187"/>
      <c r="S339" s="1187"/>
      <c r="W339" s="1187"/>
      <c r="X339" s="1187"/>
      <c r="AE339" s="1187"/>
      <c r="AF339" s="1187"/>
      <c r="AV339" s="1187"/>
      <c r="AW339" s="1187"/>
      <c r="AX339" s="1187"/>
      <c r="AY339" s="1187"/>
      <c r="AZ339" s="1187"/>
      <c r="BA339" s="1187"/>
      <c r="BC339" s="1187"/>
      <c r="BE339" s="1187"/>
      <c r="BF339" s="1187"/>
      <c r="BG339" s="1187"/>
    </row>
    <row r="340" spans="18:59" x14ac:dyDescent="0.3">
      <c r="R340" s="1187"/>
      <c r="S340" s="1187"/>
      <c r="W340" s="1187"/>
      <c r="X340" s="1187"/>
      <c r="AE340" s="1187"/>
      <c r="AF340" s="1187"/>
      <c r="AV340" s="1187"/>
      <c r="AW340" s="1187"/>
      <c r="AX340" s="1187"/>
      <c r="AY340" s="1187"/>
      <c r="AZ340" s="1187"/>
      <c r="BA340" s="1187"/>
      <c r="BC340" s="1187"/>
      <c r="BE340" s="1187"/>
      <c r="BF340" s="1187"/>
      <c r="BG340" s="1187"/>
    </row>
    <row r="341" spans="18:59" x14ac:dyDescent="0.3">
      <c r="R341" s="1187"/>
      <c r="S341" s="1187"/>
      <c r="W341" s="1187"/>
      <c r="X341" s="1187"/>
      <c r="AE341" s="1187"/>
      <c r="AF341" s="1187"/>
      <c r="AV341" s="1187"/>
      <c r="AW341" s="1187"/>
      <c r="AX341" s="1187"/>
      <c r="AY341" s="1187"/>
      <c r="AZ341" s="1187"/>
      <c r="BA341" s="1187"/>
      <c r="BC341" s="1187"/>
      <c r="BE341" s="1187"/>
      <c r="BF341" s="1187"/>
      <c r="BG341" s="1187"/>
    </row>
    <row r="342" spans="18:59" x14ac:dyDescent="0.3">
      <c r="R342" s="1187"/>
      <c r="S342" s="1187"/>
      <c r="W342" s="1187"/>
      <c r="X342" s="1187"/>
      <c r="AE342" s="1187"/>
      <c r="AF342" s="1187"/>
      <c r="AV342" s="1187"/>
      <c r="AW342" s="1187"/>
      <c r="AX342" s="1187"/>
      <c r="AY342" s="1187"/>
      <c r="AZ342" s="1187"/>
      <c r="BA342" s="1187"/>
      <c r="BC342" s="1187"/>
      <c r="BE342" s="1187"/>
      <c r="BF342" s="1187"/>
      <c r="BG342" s="1187"/>
    </row>
    <row r="343" spans="18:59" x14ac:dyDescent="0.3">
      <c r="R343" s="1187"/>
      <c r="S343" s="1187"/>
      <c r="W343" s="1187"/>
      <c r="X343" s="1187"/>
      <c r="AE343" s="1187"/>
      <c r="AF343" s="1187"/>
      <c r="AV343" s="1187"/>
      <c r="AW343" s="1187"/>
      <c r="AX343" s="1187"/>
      <c r="AY343" s="1187"/>
      <c r="AZ343" s="1187"/>
      <c r="BA343" s="1187"/>
      <c r="BC343" s="1187"/>
      <c r="BE343" s="1187"/>
      <c r="BF343" s="1187"/>
      <c r="BG343" s="1187"/>
    </row>
    <row r="344" spans="18:59" x14ac:dyDescent="0.3">
      <c r="R344" s="1187"/>
      <c r="S344" s="1187"/>
      <c r="W344" s="1187"/>
      <c r="X344" s="1187"/>
      <c r="AE344" s="1187"/>
      <c r="AF344" s="1187"/>
      <c r="AV344" s="1187"/>
      <c r="AW344" s="1187"/>
      <c r="AX344" s="1187"/>
      <c r="AY344" s="1187"/>
      <c r="AZ344" s="1187"/>
      <c r="BA344" s="1187"/>
      <c r="BC344" s="1187"/>
      <c r="BE344" s="1187"/>
      <c r="BF344" s="1187"/>
      <c r="BG344" s="1187"/>
    </row>
    <row r="345" spans="18:59" x14ac:dyDescent="0.3">
      <c r="R345" s="1187"/>
      <c r="S345" s="1187"/>
      <c r="W345" s="1187"/>
      <c r="X345" s="1187"/>
      <c r="AE345" s="1187"/>
      <c r="AF345" s="1187"/>
      <c r="AV345" s="1187"/>
      <c r="AW345" s="1187"/>
      <c r="AX345" s="1187"/>
      <c r="AY345" s="1187"/>
      <c r="AZ345" s="1187"/>
      <c r="BA345" s="1187"/>
      <c r="BC345" s="1187"/>
      <c r="BE345" s="1187"/>
      <c r="BF345" s="1187"/>
      <c r="BG345" s="1187"/>
    </row>
    <row r="346" spans="18:59" x14ac:dyDescent="0.3">
      <c r="R346" s="1187"/>
      <c r="S346" s="1187"/>
      <c r="W346" s="1187"/>
      <c r="X346" s="1187"/>
      <c r="AE346" s="1187"/>
      <c r="AF346" s="1187"/>
      <c r="AV346" s="1187"/>
      <c r="AW346" s="1187"/>
      <c r="AX346" s="1187"/>
      <c r="AY346" s="1187"/>
      <c r="AZ346" s="1187"/>
      <c r="BA346" s="1187"/>
      <c r="BC346" s="1187"/>
      <c r="BE346" s="1187"/>
      <c r="BF346" s="1187"/>
      <c r="BG346" s="1187"/>
    </row>
    <row r="347" spans="18:59" x14ac:dyDescent="0.3">
      <c r="R347" s="1187"/>
      <c r="S347" s="1187"/>
      <c r="W347" s="1187"/>
      <c r="X347" s="1187"/>
      <c r="AE347" s="1187"/>
      <c r="AF347" s="1187"/>
      <c r="AV347" s="1187"/>
      <c r="AW347" s="1187"/>
      <c r="AX347" s="1187"/>
      <c r="AY347" s="1187"/>
      <c r="AZ347" s="1187"/>
      <c r="BA347" s="1187"/>
      <c r="BC347" s="1187"/>
      <c r="BE347" s="1187"/>
      <c r="BF347" s="1187"/>
      <c r="BG347" s="1187"/>
    </row>
    <row r="348" spans="18:59" x14ac:dyDescent="0.3">
      <c r="R348" s="1187"/>
      <c r="S348" s="1187"/>
      <c r="W348" s="1187"/>
      <c r="X348" s="1187"/>
      <c r="AE348" s="1187"/>
      <c r="AF348" s="1187"/>
      <c r="AV348" s="1187"/>
      <c r="AW348" s="1187"/>
      <c r="AX348" s="1187"/>
      <c r="AY348" s="1187"/>
      <c r="AZ348" s="1187"/>
      <c r="BA348" s="1187"/>
      <c r="BC348" s="1187"/>
      <c r="BE348" s="1187"/>
      <c r="BF348" s="1187"/>
      <c r="BG348" s="1187"/>
    </row>
    <row r="349" spans="18:59" x14ac:dyDescent="0.3">
      <c r="R349" s="1187"/>
      <c r="S349" s="1187"/>
      <c r="W349" s="1187"/>
      <c r="X349" s="1187"/>
      <c r="AE349" s="1187"/>
      <c r="AF349" s="1187"/>
      <c r="AV349" s="1187"/>
      <c r="AW349" s="1187"/>
      <c r="AX349" s="1187"/>
      <c r="AY349" s="1187"/>
      <c r="AZ349" s="1187"/>
      <c r="BA349" s="1187"/>
      <c r="BC349" s="1187"/>
      <c r="BE349" s="1187"/>
      <c r="BF349" s="1187"/>
      <c r="BG349" s="1187"/>
    </row>
    <row r="350" spans="18:59" x14ac:dyDescent="0.3">
      <c r="R350" s="1187"/>
      <c r="S350" s="1187"/>
      <c r="W350" s="1187"/>
      <c r="X350" s="1187"/>
      <c r="AE350" s="1187"/>
      <c r="AF350" s="1187"/>
      <c r="AV350" s="1187"/>
      <c r="AW350" s="1187"/>
      <c r="AX350" s="1187"/>
      <c r="AY350" s="1187"/>
      <c r="AZ350" s="1187"/>
      <c r="BA350" s="1187"/>
      <c r="BC350" s="1187"/>
      <c r="BE350" s="1187"/>
      <c r="BF350" s="1187"/>
      <c r="BG350" s="1187"/>
    </row>
    <row r="351" spans="18:59" x14ac:dyDescent="0.3">
      <c r="R351" s="1187"/>
      <c r="S351" s="1187"/>
      <c r="W351" s="1187"/>
      <c r="X351" s="1187"/>
      <c r="AE351" s="1187"/>
      <c r="AF351" s="1187"/>
      <c r="AV351" s="1187"/>
      <c r="AW351" s="1187"/>
      <c r="AX351" s="1187"/>
      <c r="AY351" s="1187"/>
      <c r="AZ351" s="1187"/>
      <c r="BA351" s="1187"/>
      <c r="BC351" s="1187"/>
      <c r="BE351" s="1187"/>
      <c r="BF351" s="1187"/>
      <c r="BG351" s="1187"/>
    </row>
    <row r="352" spans="18:59" x14ac:dyDescent="0.3">
      <c r="R352" s="1187"/>
      <c r="S352" s="1187"/>
      <c r="W352" s="1187"/>
      <c r="X352" s="1187"/>
      <c r="AE352" s="1187"/>
      <c r="AF352" s="1187"/>
      <c r="AV352" s="1187"/>
      <c r="AW352" s="1187"/>
      <c r="AX352" s="1187"/>
      <c r="AY352" s="1187"/>
      <c r="AZ352" s="1187"/>
      <c r="BA352" s="1187"/>
      <c r="BC352" s="1187"/>
      <c r="BE352" s="1187"/>
      <c r="BF352" s="1187"/>
      <c r="BG352" s="1187"/>
    </row>
    <row r="353" spans="18:59" x14ac:dyDescent="0.3">
      <c r="R353" s="1187"/>
      <c r="S353" s="1187"/>
      <c r="W353" s="1187"/>
      <c r="X353" s="1187"/>
      <c r="AE353" s="1187"/>
      <c r="AF353" s="1187"/>
      <c r="AV353" s="1187"/>
      <c r="AW353" s="1187"/>
      <c r="AX353" s="1187"/>
      <c r="AY353" s="1187"/>
      <c r="AZ353" s="1187"/>
      <c r="BA353" s="1187"/>
      <c r="BC353" s="1187"/>
      <c r="BE353" s="1187"/>
      <c r="BF353" s="1187"/>
      <c r="BG353" s="1187"/>
    </row>
    <row r="354" spans="18:59" x14ac:dyDescent="0.3">
      <c r="R354" s="1187"/>
      <c r="S354" s="1187"/>
      <c r="W354" s="1187"/>
      <c r="X354" s="1187"/>
      <c r="AE354" s="1187"/>
      <c r="AF354" s="1187"/>
      <c r="AV354" s="1187"/>
      <c r="AW354" s="1187"/>
      <c r="AX354" s="1187"/>
      <c r="AY354" s="1187"/>
      <c r="AZ354" s="1187"/>
      <c r="BA354" s="1187"/>
      <c r="BC354" s="1187"/>
      <c r="BE354" s="1187"/>
      <c r="BF354" s="1187"/>
      <c r="BG354" s="1187"/>
    </row>
    <row r="355" spans="18:59" x14ac:dyDescent="0.3">
      <c r="R355" s="1187"/>
      <c r="S355" s="1187"/>
      <c r="W355" s="1187"/>
      <c r="X355" s="1187"/>
      <c r="AE355" s="1187"/>
      <c r="AF355" s="1187"/>
      <c r="AV355" s="1187"/>
      <c r="AW355" s="1187"/>
      <c r="AX355" s="1187"/>
      <c r="AY355" s="1187"/>
      <c r="AZ355" s="1187"/>
      <c r="BA355" s="1187"/>
      <c r="BC355" s="1187"/>
      <c r="BE355" s="1187"/>
      <c r="BF355" s="1187"/>
      <c r="BG355" s="1187"/>
    </row>
    <row r="356" spans="18:59" x14ac:dyDescent="0.3">
      <c r="R356" s="1187"/>
      <c r="S356" s="1187"/>
      <c r="W356" s="1187"/>
      <c r="X356" s="1187"/>
      <c r="AE356" s="1187"/>
      <c r="AF356" s="1187"/>
      <c r="AV356" s="1187"/>
      <c r="AW356" s="1187"/>
      <c r="AX356" s="1187"/>
      <c r="AY356" s="1187"/>
      <c r="AZ356" s="1187"/>
      <c r="BA356" s="1187"/>
      <c r="BC356" s="1187"/>
      <c r="BE356" s="1187"/>
      <c r="BF356" s="1187"/>
      <c r="BG356" s="1187"/>
    </row>
    <row r="357" spans="18:59" x14ac:dyDescent="0.3">
      <c r="R357" s="1187"/>
      <c r="S357" s="1187"/>
      <c r="W357" s="1187"/>
      <c r="X357" s="1187"/>
      <c r="AE357" s="1187"/>
      <c r="AF357" s="1187"/>
      <c r="AV357" s="1187"/>
      <c r="AW357" s="1187"/>
      <c r="AX357" s="1187"/>
      <c r="AY357" s="1187"/>
      <c r="AZ357" s="1187"/>
      <c r="BA357" s="1187"/>
      <c r="BC357" s="1187"/>
      <c r="BE357" s="1187"/>
      <c r="BF357" s="1187"/>
      <c r="BG357" s="1187"/>
    </row>
    <row r="358" spans="18:59" x14ac:dyDescent="0.3">
      <c r="R358" s="1187"/>
      <c r="S358" s="1187"/>
      <c r="W358" s="1187"/>
      <c r="X358" s="1187"/>
      <c r="AE358" s="1187"/>
      <c r="AF358" s="1187"/>
      <c r="AV358" s="1187"/>
      <c r="AW358" s="1187"/>
      <c r="AX358" s="1187"/>
      <c r="AY358" s="1187"/>
      <c r="AZ358" s="1187"/>
      <c r="BA358" s="1187"/>
      <c r="BC358" s="1187"/>
      <c r="BE358" s="1187"/>
      <c r="BF358" s="1187"/>
      <c r="BG358" s="1187"/>
    </row>
    <row r="359" spans="18:59" x14ac:dyDescent="0.3">
      <c r="R359" s="1187"/>
      <c r="S359" s="1187"/>
      <c r="W359" s="1187"/>
      <c r="X359" s="1187"/>
      <c r="AE359" s="1187"/>
      <c r="AF359" s="1187"/>
      <c r="AV359" s="1187"/>
      <c r="AW359" s="1187"/>
      <c r="AX359" s="1187"/>
      <c r="AY359" s="1187"/>
      <c r="AZ359" s="1187"/>
      <c r="BA359" s="1187"/>
      <c r="BC359" s="1187"/>
      <c r="BE359" s="1187"/>
      <c r="BF359" s="1187"/>
      <c r="BG359" s="1187"/>
    </row>
    <row r="360" spans="18:59" x14ac:dyDescent="0.3">
      <c r="R360" s="1187"/>
      <c r="S360" s="1187"/>
      <c r="W360" s="1187"/>
      <c r="X360" s="1187"/>
      <c r="AE360" s="1187"/>
      <c r="AF360" s="1187"/>
      <c r="AV360" s="1187"/>
      <c r="AW360" s="1187"/>
      <c r="AX360" s="1187"/>
      <c r="AY360" s="1187"/>
      <c r="AZ360" s="1187"/>
      <c r="BA360" s="1187"/>
      <c r="BC360" s="1187"/>
      <c r="BE360" s="1187"/>
      <c r="BF360" s="1187"/>
      <c r="BG360" s="1187"/>
    </row>
    <row r="361" spans="18:59" x14ac:dyDescent="0.3">
      <c r="R361" s="1187"/>
      <c r="S361" s="1187"/>
      <c r="W361" s="1187"/>
      <c r="X361" s="1187"/>
      <c r="AE361" s="1187"/>
      <c r="AF361" s="1187"/>
      <c r="AV361" s="1187"/>
      <c r="AW361" s="1187"/>
      <c r="AX361" s="1187"/>
      <c r="AY361" s="1187"/>
      <c r="AZ361" s="1187"/>
      <c r="BA361" s="1187"/>
      <c r="BC361" s="1187"/>
      <c r="BE361" s="1187"/>
      <c r="BF361" s="1187"/>
      <c r="BG361" s="1187"/>
    </row>
    <row r="362" spans="18:59" x14ac:dyDescent="0.3">
      <c r="R362" s="1187"/>
      <c r="S362" s="1187"/>
      <c r="W362" s="1187"/>
      <c r="X362" s="1187"/>
      <c r="AE362" s="1187"/>
      <c r="AF362" s="1187"/>
      <c r="AV362" s="1187"/>
      <c r="AW362" s="1187"/>
      <c r="AX362" s="1187"/>
      <c r="AY362" s="1187"/>
      <c r="AZ362" s="1187"/>
      <c r="BA362" s="1187"/>
      <c r="BC362" s="1187"/>
      <c r="BE362" s="1187"/>
      <c r="BF362" s="1187"/>
      <c r="BG362" s="1187"/>
    </row>
    <row r="363" spans="18:59" x14ac:dyDescent="0.3">
      <c r="R363" s="1187"/>
      <c r="S363" s="1187"/>
      <c r="W363" s="1187"/>
      <c r="X363" s="1187"/>
      <c r="AE363" s="1187"/>
      <c r="AF363" s="1187"/>
      <c r="AV363" s="1187"/>
      <c r="AW363" s="1187"/>
      <c r="AX363" s="1187"/>
      <c r="AY363" s="1187"/>
      <c r="AZ363" s="1187"/>
      <c r="BA363" s="1187"/>
      <c r="BC363" s="1187"/>
      <c r="BE363" s="1187"/>
      <c r="BF363" s="1187"/>
      <c r="BG363" s="1187"/>
    </row>
    <row r="364" spans="18:59" x14ac:dyDescent="0.3">
      <c r="R364" s="1187"/>
      <c r="S364" s="1187"/>
      <c r="W364" s="1187"/>
      <c r="X364" s="1187"/>
      <c r="AE364" s="1187"/>
      <c r="AF364" s="1187"/>
      <c r="AV364" s="1187"/>
      <c r="AW364" s="1187"/>
      <c r="AX364" s="1187"/>
      <c r="AY364" s="1187"/>
      <c r="AZ364" s="1187"/>
      <c r="BA364" s="1187"/>
      <c r="BC364" s="1187"/>
      <c r="BE364" s="1187"/>
      <c r="BF364" s="1187"/>
      <c r="BG364" s="1187"/>
    </row>
    <row r="365" spans="18:59" x14ac:dyDescent="0.3">
      <c r="R365" s="1187"/>
      <c r="S365" s="1187"/>
      <c r="W365" s="1187"/>
      <c r="X365" s="1187"/>
      <c r="AE365" s="1187"/>
      <c r="AF365" s="1187"/>
      <c r="AV365" s="1187"/>
      <c r="AW365" s="1187"/>
      <c r="AX365" s="1187"/>
      <c r="AY365" s="1187"/>
      <c r="AZ365" s="1187"/>
      <c r="BA365" s="1187"/>
      <c r="BC365" s="1187"/>
      <c r="BE365" s="1187"/>
      <c r="BF365" s="1187"/>
      <c r="BG365" s="1187"/>
    </row>
    <row r="366" spans="18:59" x14ac:dyDescent="0.3">
      <c r="R366" s="1187"/>
      <c r="S366" s="1187"/>
      <c r="W366" s="1187"/>
      <c r="X366" s="1187"/>
      <c r="AE366" s="1187"/>
      <c r="AF366" s="1187"/>
      <c r="AV366" s="1187"/>
      <c r="AW366" s="1187"/>
      <c r="AX366" s="1187"/>
      <c r="AY366" s="1187"/>
      <c r="AZ366" s="1187"/>
      <c r="BA366" s="1187"/>
      <c r="BC366" s="1187"/>
      <c r="BE366" s="1187"/>
      <c r="BF366" s="1187"/>
      <c r="BG366" s="1187"/>
    </row>
    <row r="367" spans="18:59" x14ac:dyDescent="0.3">
      <c r="R367" s="1187"/>
      <c r="S367" s="1187"/>
      <c r="W367" s="1187"/>
      <c r="X367" s="1187"/>
      <c r="AE367" s="1187"/>
      <c r="AF367" s="1187"/>
      <c r="AV367" s="1187"/>
      <c r="AW367" s="1187"/>
      <c r="AX367" s="1187"/>
      <c r="AY367" s="1187"/>
      <c r="AZ367" s="1187"/>
      <c r="BA367" s="1187"/>
      <c r="BC367" s="1187"/>
      <c r="BE367" s="1187"/>
      <c r="BF367" s="1187"/>
      <c r="BG367" s="1187"/>
    </row>
    <row r="368" spans="18:59" x14ac:dyDescent="0.3">
      <c r="R368" s="1187"/>
      <c r="S368" s="1187"/>
      <c r="W368" s="1187"/>
      <c r="X368" s="1187"/>
      <c r="AE368" s="1187"/>
      <c r="AF368" s="1187"/>
      <c r="AV368" s="1187"/>
      <c r="AW368" s="1187"/>
      <c r="AX368" s="1187"/>
      <c r="AY368" s="1187"/>
      <c r="AZ368" s="1187"/>
      <c r="BA368" s="1187"/>
      <c r="BC368" s="1187"/>
      <c r="BE368" s="1187"/>
      <c r="BF368" s="1187"/>
      <c r="BG368" s="1187"/>
    </row>
    <row r="369" spans="18:59" x14ac:dyDescent="0.3">
      <c r="R369" s="1187"/>
      <c r="S369" s="1187"/>
      <c r="W369" s="1187"/>
      <c r="X369" s="1187"/>
      <c r="AE369" s="1187"/>
      <c r="AF369" s="1187"/>
      <c r="AV369" s="1187"/>
      <c r="AW369" s="1187"/>
      <c r="AX369" s="1187"/>
      <c r="AY369" s="1187"/>
      <c r="AZ369" s="1187"/>
      <c r="BA369" s="1187"/>
      <c r="BC369" s="1187"/>
      <c r="BE369" s="1187"/>
      <c r="BF369" s="1187"/>
      <c r="BG369" s="1187"/>
    </row>
    <row r="370" spans="18:59" x14ac:dyDescent="0.3">
      <c r="R370" s="1187"/>
      <c r="S370" s="1187"/>
      <c r="W370" s="1187"/>
      <c r="X370" s="1187"/>
      <c r="AE370" s="1187"/>
      <c r="AF370" s="1187"/>
      <c r="AV370" s="1187"/>
      <c r="AW370" s="1187"/>
      <c r="AX370" s="1187"/>
      <c r="AY370" s="1187"/>
      <c r="AZ370" s="1187"/>
      <c r="BA370" s="1187"/>
      <c r="BC370" s="1187"/>
      <c r="BE370" s="1187"/>
      <c r="BF370" s="1187"/>
      <c r="BG370" s="1187"/>
    </row>
    <row r="371" spans="18:59" x14ac:dyDescent="0.3">
      <c r="R371" s="1187"/>
      <c r="S371" s="1187"/>
      <c r="W371" s="1187"/>
      <c r="X371" s="1187"/>
      <c r="AE371" s="1187"/>
      <c r="AF371" s="1187"/>
      <c r="AV371" s="1187"/>
      <c r="AW371" s="1187"/>
      <c r="AX371" s="1187"/>
      <c r="AY371" s="1187"/>
      <c r="AZ371" s="1187"/>
      <c r="BA371" s="1187"/>
      <c r="BC371" s="1187"/>
      <c r="BE371" s="1187"/>
      <c r="BF371" s="1187"/>
      <c r="BG371" s="1187"/>
    </row>
    <row r="372" spans="18:59" x14ac:dyDescent="0.3">
      <c r="R372" s="1187"/>
      <c r="S372" s="1187"/>
      <c r="W372" s="1187"/>
      <c r="X372" s="1187"/>
      <c r="AE372" s="1187"/>
      <c r="AF372" s="1187"/>
      <c r="AV372" s="1187"/>
      <c r="AW372" s="1187"/>
      <c r="AX372" s="1187"/>
      <c r="AY372" s="1187"/>
      <c r="AZ372" s="1187"/>
      <c r="BA372" s="1187"/>
      <c r="BC372" s="1187"/>
      <c r="BE372" s="1187"/>
      <c r="BF372" s="1187"/>
      <c r="BG372" s="1187"/>
    </row>
    <row r="373" spans="18:59" x14ac:dyDescent="0.3">
      <c r="R373" s="1187"/>
      <c r="S373" s="1187"/>
      <c r="W373" s="1187"/>
      <c r="X373" s="1187"/>
      <c r="AE373" s="1187"/>
      <c r="AF373" s="1187"/>
      <c r="AV373" s="1187"/>
      <c r="AW373" s="1187"/>
      <c r="AX373" s="1187"/>
      <c r="AY373" s="1187"/>
      <c r="AZ373" s="1187"/>
      <c r="BA373" s="1187"/>
      <c r="BC373" s="1187"/>
      <c r="BE373" s="1187"/>
      <c r="BF373" s="1187"/>
      <c r="BG373" s="1187"/>
    </row>
    <row r="374" spans="18:59" x14ac:dyDescent="0.3">
      <c r="R374" s="1187"/>
      <c r="S374" s="1187"/>
      <c r="W374" s="1187"/>
      <c r="X374" s="1187"/>
      <c r="AE374" s="1187"/>
      <c r="AF374" s="1187"/>
      <c r="AV374" s="1187"/>
      <c r="AW374" s="1187"/>
      <c r="AX374" s="1187"/>
      <c r="AY374" s="1187"/>
      <c r="AZ374" s="1187"/>
      <c r="BA374" s="1187"/>
      <c r="BC374" s="1187"/>
      <c r="BE374" s="1187"/>
      <c r="BF374" s="1187"/>
      <c r="BG374" s="1187"/>
    </row>
    <row r="375" spans="18:59" x14ac:dyDescent="0.3">
      <c r="R375" s="1187"/>
      <c r="S375" s="1187"/>
      <c r="W375" s="1187"/>
      <c r="X375" s="1187"/>
      <c r="AE375" s="1187"/>
      <c r="AF375" s="1187"/>
      <c r="AV375" s="1187"/>
      <c r="AW375" s="1187"/>
      <c r="AX375" s="1187"/>
      <c r="AY375" s="1187"/>
      <c r="AZ375" s="1187"/>
      <c r="BA375" s="1187"/>
      <c r="BC375" s="1187"/>
      <c r="BE375" s="1187"/>
      <c r="BF375" s="1187"/>
      <c r="BG375" s="1187"/>
    </row>
    <row r="376" spans="18:59" x14ac:dyDescent="0.3">
      <c r="R376" s="1187"/>
      <c r="S376" s="1187"/>
      <c r="W376" s="1187"/>
      <c r="X376" s="1187"/>
      <c r="AE376" s="1187"/>
      <c r="AF376" s="1187"/>
      <c r="AV376" s="1187"/>
      <c r="AW376" s="1187"/>
      <c r="AX376" s="1187"/>
      <c r="AY376" s="1187"/>
      <c r="AZ376" s="1187"/>
      <c r="BA376" s="1187"/>
      <c r="BC376" s="1187"/>
      <c r="BE376" s="1187"/>
      <c r="BF376" s="1187"/>
      <c r="BG376" s="1187"/>
    </row>
    <row r="377" spans="18:59" x14ac:dyDescent="0.3">
      <c r="R377" s="1187"/>
      <c r="S377" s="1187"/>
      <c r="W377" s="1187"/>
      <c r="X377" s="1187"/>
      <c r="AE377" s="1187"/>
      <c r="AF377" s="1187"/>
      <c r="AV377" s="1187"/>
      <c r="AW377" s="1187"/>
      <c r="AX377" s="1187"/>
      <c r="AY377" s="1187"/>
      <c r="AZ377" s="1187"/>
      <c r="BA377" s="1187"/>
      <c r="BC377" s="1187"/>
      <c r="BE377" s="1187"/>
      <c r="BF377" s="1187"/>
      <c r="BG377" s="1187"/>
    </row>
    <row r="378" spans="18:59" x14ac:dyDescent="0.3">
      <c r="R378" s="1187"/>
      <c r="S378" s="1187"/>
      <c r="W378" s="1187"/>
      <c r="X378" s="1187"/>
      <c r="AE378" s="1187"/>
      <c r="AF378" s="1187"/>
      <c r="AV378" s="1187"/>
      <c r="AW378" s="1187"/>
      <c r="AX378" s="1187"/>
      <c r="AY378" s="1187"/>
      <c r="AZ378" s="1187"/>
      <c r="BA378" s="1187"/>
      <c r="BC378" s="1187"/>
      <c r="BE378" s="1187"/>
      <c r="BF378" s="1187"/>
      <c r="BG378" s="1187"/>
    </row>
    <row r="379" spans="18:59" x14ac:dyDescent="0.3">
      <c r="R379" s="1187"/>
      <c r="S379" s="1187"/>
      <c r="W379" s="1187"/>
      <c r="X379" s="1187"/>
      <c r="AE379" s="1187"/>
      <c r="AF379" s="1187"/>
      <c r="AV379" s="1187"/>
      <c r="AW379" s="1187"/>
      <c r="AX379" s="1187"/>
      <c r="AY379" s="1187"/>
      <c r="AZ379" s="1187"/>
      <c r="BA379" s="1187"/>
      <c r="BC379" s="1187"/>
      <c r="BE379" s="1187"/>
      <c r="BF379" s="1187"/>
      <c r="BG379" s="1187"/>
    </row>
    <row r="380" spans="18:59" x14ac:dyDescent="0.3">
      <c r="R380" s="1187"/>
      <c r="S380" s="1187"/>
      <c r="W380" s="1187"/>
      <c r="X380" s="1187"/>
      <c r="AE380" s="1187"/>
      <c r="AF380" s="1187"/>
      <c r="AV380" s="1187"/>
      <c r="AW380" s="1187"/>
      <c r="AX380" s="1187"/>
      <c r="AY380" s="1187"/>
      <c r="AZ380" s="1187"/>
      <c r="BA380" s="1187"/>
      <c r="BC380" s="1187"/>
      <c r="BE380" s="1187"/>
      <c r="BF380" s="1187"/>
      <c r="BG380" s="1187"/>
    </row>
    <row r="381" spans="18:59" x14ac:dyDescent="0.3">
      <c r="R381" s="1187"/>
      <c r="S381" s="1187"/>
      <c r="W381" s="1187"/>
      <c r="X381" s="1187"/>
      <c r="AE381" s="1187"/>
      <c r="AF381" s="1187"/>
      <c r="AV381" s="1187"/>
      <c r="AW381" s="1187"/>
      <c r="AX381" s="1187"/>
      <c r="AY381" s="1187"/>
      <c r="AZ381" s="1187"/>
      <c r="BA381" s="1187"/>
      <c r="BC381" s="1187"/>
      <c r="BE381" s="1187"/>
      <c r="BF381" s="1187"/>
      <c r="BG381" s="1187"/>
    </row>
    <row r="382" spans="18:59" x14ac:dyDescent="0.3">
      <c r="R382" s="1187"/>
      <c r="S382" s="1187"/>
      <c r="W382" s="1187"/>
      <c r="X382" s="1187"/>
      <c r="AE382" s="1187"/>
      <c r="AF382" s="1187"/>
      <c r="AV382" s="1187"/>
      <c r="AW382" s="1187"/>
      <c r="AX382" s="1187"/>
      <c r="AY382" s="1187"/>
      <c r="AZ382" s="1187"/>
      <c r="BA382" s="1187"/>
      <c r="BC382" s="1187"/>
      <c r="BE382" s="1187"/>
      <c r="BF382" s="1187"/>
      <c r="BG382" s="1187"/>
    </row>
    <row r="383" spans="18:59" x14ac:dyDescent="0.3">
      <c r="R383" s="1187"/>
      <c r="S383" s="1187"/>
      <c r="W383" s="1187"/>
      <c r="X383" s="1187"/>
      <c r="AE383" s="1187"/>
      <c r="AF383" s="1187"/>
      <c r="AV383" s="1187"/>
      <c r="AW383" s="1187"/>
      <c r="AX383" s="1187"/>
      <c r="AY383" s="1187"/>
      <c r="AZ383" s="1187"/>
      <c r="BA383" s="1187"/>
      <c r="BC383" s="1187"/>
      <c r="BE383" s="1187"/>
      <c r="BF383" s="1187"/>
      <c r="BG383" s="1187"/>
    </row>
    <row r="384" spans="18:59" x14ac:dyDescent="0.3">
      <c r="R384" s="1187"/>
      <c r="S384" s="1187"/>
      <c r="W384" s="1187"/>
      <c r="X384" s="1187"/>
      <c r="AE384" s="1187"/>
      <c r="AF384" s="1187"/>
      <c r="AV384" s="1187"/>
      <c r="AW384" s="1187"/>
      <c r="AX384" s="1187"/>
      <c r="AY384" s="1187"/>
      <c r="AZ384" s="1187"/>
      <c r="BA384" s="1187"/>
      <c r="BC384" s="1187"/>
      <c r="BE384" s="1187"/>
      <c r="BF384" s="1187"/>
      <c r="BG384" s="1187"/>
    </row>
    <row r="385" spans="18:59" x14ac:dyDescent="0.3">
      <c r="R385" s="1187"/>
      <c r="S385" s="1187"/>
      <c r="W385" s="1187"/>
      <c r="X385" s="1187"/>
      <c r="AE385" s="1187"/>
      <c r="AF385" s="1187"/>
      <c r="AV385" s="1187"/>
      <c r="AW385" s="1187"/>
      <c r="AX385" s="1187"/>
      <c r="AY385" s="1187"/>
      <c r="AZ385" s="1187"/>
      <c r="BA385" s="1187"/>
      <c r="BC385" s="1187"/>
      <c r="BE385" s="1187"/>
      <c r="BF385" s="1187"/>
      <c r="BG385" s="1187"/>
    </row>
    <row r="386" spans="18:59" x14ac:dyDescent="0.3">
      <c r="R386" s="1187"/>
      <c r="S386" s="1187"/>
      <c r="W386" s="1187"/>
      <c r="X386" s="1187"/>
      <c r="AE386" s="1187"/>
      <c r="AF386" s="1187"/>
      <c r="AV386" s="1187"/>
      <c r="AW386" s="1187"/>
      <c r="AX386" s="1187"/>
      <c r="AY386" s="1187"/>
      <c r="AZ386" s="1187"/>
      <c r="BA386" s="1187"/>
      <c r="BC386" s="1187"/>
      <c r="BE386" s="1187"/>
      <c r="BF386" s="1187"/>
      <c r="BG386" s="1187"/>
    </row>
    <row r="387" spans="18:59" x14ac:dyDescent="0.3">
      <c r="R387" s="1187"/>
      <c r="S387" s="1187"/>
      <c r="W387" s="1187"/>
      <c r="X387" s="1187"/>
      <c r="AE387" s="1187"/>
      <c r="AF387" s="1187"/>
      <c r="AV387" s="1187"/>
      <c r="AW387" s="1187"/>
      <c r="AX387" s="1187"/>
      <c r="AY387" s="1187"/>
      <c r="AZ387" s="1187"/>
      <c r="BA387" s="1187"/>
      <c r="BC387" s="1187"/>
      <c r="BE387" s="1187"/>
      <c r="BF387" s="1187"/>
      <c r="BG387" s="1187"/>
    </row>
    <row r="388" spans="18:59" x14ac:dyDescent="0.3">
      <c r="R388" s="1187"/>
      <c r="S388" s="1187"/>
      <c r="W388" s="1187"/>
      <c r="X388" s="1187"/>
      <c r="AE388" s="1187"/>
      <c r="AF388" s="1187"/>
      <c r="AV388" s="1187"/>
      <c r="AW388" s="1187"/>
      <c r="AX388" s="1187"/>
      <c r="AY388" s="1187"/>
      <c r="AZ388" s="1187"/>
      <c r="BA388" s="1187"/>
      <c r="BC388" s="1187"/>
      <c r="BE388" s="1187"/>
      <c r="BF388" s="1187"/>
      <c r="BG388" s="1187"/>
    </row>
    <row r="389" spans="18:59" x14ac:dyDescent="0.3">
      <c r="R389" s="1187"/>
      <c r="S389" s="1187"/>
      <c r="W389" s="1187"/>
      <c r="X389" s="1187"/>
      <c r="AE389" s="1187"/>
      <c r="AF389" s="1187"/>
      <c r="AV389" s="1187"/>
      <c r="AW389" s="1187"/>
      <c r="AX389" s="1187"/>
      <c r="AY389" s="1187"/>
      <c r="AZ389" s="1187"/>
      <c r="BA389" s="1187"/>
      <c r="BC389" s="1187"/>
      <c r="BE389" s="1187"/>
      <c r="BF389" s="1187"/>
      <c r="BG389" s="1187"/>
    </row>
    <row r="390" spans="18:59" x14ac:dyDescent="0.3">
      <c r="R390" s="1187"/>
      <c r="S390" s="1187"/>
      <c r="W390" s="1187"/>
      <c r="X390" s="1187"/>
      <c r="AE390" s="1187"/>
      <c r="AF390" s="1187"/>
      <c r="AV390" s="1187"/>
      <c r="AW390" s="1187"/>
      <c r="AX390" s="1187"/>
      <c r="AY390" s="1187"/>
      <c r="AZ390" s="1187"/>
      <c r="BA390" s="1187"/>
      <c r="BC390" s="1187"/>
      <c r="BE390" s="1187"/>
      <c r="BF390" s="1187"/>
      <c r="BG390" s="1187"/>
    </row>
    <row r="391" spans="18:59" x14ac:dyDescent="0.3">
      <c r="R391" s="1187"/>
      <c r="S391" s="1187"/>
      <c r="W391" s="1187"/>
      <c r="X391" s="1187"/>
      <c r="AE391" s="1187"/>
      <c r="AF391" s="1187"/>
      <c r="AV391" s="1187"/>
      <c r="AW391" s="1187"/>
      <c r="AX391" s="1187"/>
      <c r="AY391" s="1187"/>
      <c r="AZ391" s="1187"/>
      <c r="BA391" s="1187"/>
      <c r="BC391" s="1187"/>
      <c r="BE391" s="1187"/>
      <c r="BF391" s="1187"/>
      <c r="BG391" s="1187"/>
    </row>
    <row r="392" spans="18:59" x14ac:dyDescent="0.3">
      <c r="R392" s="1187"/>
      <c r="S392" s="1187"/>
      <c r="W392" s="1187"/>
      <c r="X392" s="1187"/>
      <c r="AE392" s="1187"/>
      <c r="AF392" s="1187"/>
      <c r="AV392" s="1187"/>
      <c r="AW392" s="1187"/>
      <c r="AX392" s="1187"/>
      <c r="AY392" s="1187"/>
      <c r="AZ392" s="1187"/>
      <c r="BA392" s="1187"/>
      <c r="BC392" s="1187"/>
      <c r="BE392" s="1187"/>
      <c r="BF392" s="1187"/>
      <c r="BG392" s="1187"/>
    </row>
    <row r="393" spans="18:59" x14ac:dyDescent="0.3">
      <c r="R393" s="1187"/>
      <c r="S393" s="1187"/>
      <c r="W393" s="1187"/>
      <c r="X393" s="1187"/>
      <c r="AE393" s="1187"/>
      <c r="AF393" s="1187"/>
      <c r="AV393" s="1187"/>
      <c r="AW393" s="1187"/>
      <c r="AX393" s="1187"/>
      <c r="AY393" s="1187"/>
      <c r="AZ393" s="1187"/>
      <c r="BA393" s="1187"/>
      <c r="BC393" s="1187"/>
      <c r="BE393" s="1187"/>
      <c r="BF393" s="1187"/>
      <c r="BG393" s="1187"/>
    </row>
    <row r="394" spans="18:59" x14ac:dyDescent="0.3">
      <c r="R394" s="1187"/>
      <c r="S394" s="1187"/>
      <c r="W394" s="1187"/>
      <c r="X394" s="1187"/>
      <c r="AE394" s="1187"/>
      <c r="AF394" s="1187"/>
      <c r="AV394" s="1187"/>
      <c r="AW394" s="1187"/>
      <c r="AX394" s="1187"/>
      <c r="AY394" s="1187"/>
      <c r="AZ394" s="1187"/>
      <c r="BA394" s="1187"/>
      <c r="BC394" s="1187"/>
      <c r="BE394" s="1187"/>
      <c r="BF394" s="1187"/>
      <c r="BG394" s="1187"/>
    </row>
    <row r="395" spans="18:59" x14ac:dyDescent="0.3">
      <c r="R395" s="1187"/>
      <c r="S395" s="1187"/>
      <c r="W395" s="1187"/>
      <c r="X395" s="1187"/>
      <c r="AE395" s="1187"/>
      <c r="AF395" s="1187"/>
      <c r="AV395" s="1187"/>
      <c r="AW395" s="1187"/>
      <c r="AX395" s="1187"/>
      <c r="AY395" s="1187"/>
      <c r="AZ395" s="1187"/>
      <c r="BA395" s="1187"/>
      <c r="BC395" s="1187"/>
      <c r="BE395" s="1187"/>
      <c r="BF395" s="1187"/>
      <c r="BG395" s="1187"/>
    </row>
    <row r="396" spans="18:59" x14ac:dyDescent="0.3">
      <c r="R396" s="1187"/>
      <c r="S396" s="1187"/>
      <c r="W396" s="1187"/>
      <c r="X396" s="1187"/>
      <c r="AE396" s="1187"/>
      <c r="AF396" s="1187"/>
      <c r="AV396" s="1187"/>
      <c r="AW396" s="1187"/>
      <c r="AX396" s="1187"/>
      <c r="AY396" s="1187"/>
      <c r="AZ396" s="1187"/>
      <c r="BA396" s="1187"/>
      <c r="BC396" s="1187"/>
      <c r="BE396" s="1187"/>
      <c r="BF396" s="1187"/>
      <c r="BG396" s="1187"/>
    </row>
    <row r="397" spans="18:59" x14ac:dyDescent="0.3">
      <c r="R397" s="1187"/>
      <c r="S397" s="1187"/>
      <c r="W397" s="1187"/>
      <c r="X397" s="1187"/>
      <c r="AE397" s="1187"/>
      <c r="AF397" s="1187"/>
      <c r="AV397" s="1187"/>
      <c r="AW397" s="1187"/>
      <c r="AX397" s="1187"/>
      <c r="AY397" s="1187"/>
      <c r="AZ397" s="1187"/>
      <c r="BA397" s="1187"/>
      <c r="BC397" s="1187"/>
      <c r="BE397" s="1187"/>
      <c r="BF397" s="1187"/>
      <c r="BG397" s="1187"/>
    </row>
    <row r="398" spans="18:59" x14ac:dyDescent="0.3">
      <c r="R398" s="1187"/>
      <c r="S398" s="1187"/>
      <c r="W398" s="1187"/>
      <c r="X398" s="1187"/>
      <c r="AE398" s="1187"/>
      <c r="AF398" s="1187"/>
      <c r="AV398" s="1187"/>
      <c r="AW398" s="1187"/>
      <c r="AX398" s="1187"/>
      <c r="AY398" s="1187"/>
      <c r="AZ398" s="1187"/>
      <c r="BA398" s="1187"/>
      <c r="BC398" s="1187"/>
      <c r="BE398" s="1187"/>
      <c r="BF398" s="1187"/>
      <c r="BG398" s="1187"/>
    </row>
    <row r="399" spans="18:59" x14ac:dyDescent="0.3">
      <c r="R399" s="1187"/>
      <c r="S399" s="1187"/>
      <c r="W399" s="1187"/>
      <c r="X399" s="1187"/>
      <c r="AE399" s="1187"/>
      <c r="AF399" s="1187"/>
      <c r="AV399" s="1187"/>
      <c r="AW399" s="1187"/>
      <c r="AX399" s="1187"/>
      <c r="AY399" s="1187"/>
      <c r="AZ399" s="1187"/>
      <c r="BA399" s="1187"/>
      <c r="BC399" s="1187"/>
      <c r="BE399" s="1187"/>
      <c r="BF399" s="1187"/>
      <c r="BG399" s="1187"/>
    </row>
    <row r="400" spans="18:59" x14ac:dyDescent="0.3">
      <c r="R400" s="1187"/>
      <c r="S400" s="1187"/>
      <c r="W400" s="1187"/>
      <c r="X400" s="1187"/>
      <c r="AE400" s="1187"/>
      <c r="AF400" s="1187"/>
      <c r="AV400" s="1187"/>
      <c r="AW400" s="1187"/>
      <c r="AX400" s="1187"/>
      <c r="AY400" s="1187"/>
      <c r="AZ400" s="1187"/>
      <c r="BA400" s="1187"/>
      <c r="BC400" s="1187"/>
      <c r="BE400" s="1187"/>
      <c r="BF400" s="1187"/>
      <c r="BG400" s="1187"/>
    </row>
    <row r="401" spans="18:59" x14ac:dyDescent="0.3">
      <c r="R401" s="1187"/>
      <c r="S401" s="1187"/>
      <c r="W401" s="1187"/>
      <c r="X401" s="1187"/>
      <c r="AE401" s="1187"/>
      <c r="AF401" s="1187"/>
      <c r="AV401" s="1187"/>
      <c r="AW401" s="1187"/>
      <c r="AX401" s="1187"/>
      <c r="AY401" s="1187"/>
      <c r="AZ401" s="1187"/>
      <c r="BA401" s="1187"/>
      <c r="BC401" s="1187"/>
      <c r="BE401" s="1187"/>
      <c r="BF401" s="1187"/>
      <c r="BG401" s="1187"/>
    </row>
    <row r="402" spans="18:59" x14ac:dyDescent="0.3">
      <c r="R402" s="1187"/>
      <c r="S402" s="1187"/>
      <c r="W402" s="1187"/>
      <c r="X402" s="1187"/>
      <c r="AE402" s="1187"/>
      <c r="AF402" s="1187"/>
      <c r="AV402" s="1187"/>
      <c r="AW402" s="1187"/>
      <c r="AX402" s="1187"/>
      <c r="AY402" s="1187"/>
      <c r="AZ402" s="1187"/>
      <c r="BA402" s="1187"/>
      <c r="BC402" s="1187"/>
      <c r="BE402" s="1187"/>
      <c r="BF402" s="1187"/>
      <c r="BG402" s="1187"/>
    </row>
    <row r="403" spans="18:59" x14ac:dyDescent="0.3">
      <c r="R403" s="1187"/>
      <c r="S403" s="1187"/>
      <c r="W403" s="1187"/>
      <c r="X403" s="1187"/>
      <c r="AE403" s="1187"/>
      <c r="AF403" s="1187"/>
      <c r="AV403" s="1187"/>
      <c r="AW403" s="1187"/>
      <c r="AX403" s="1187"/>
      <c r="AY403" s="1187"/>
      <c r="AZ403" s="1187"/>
      <c r="BA403" s="1187"/>
      <c r="BC403" s="1187"/>
      <c r="BE403" s="1187"/>
      <c r="BF403" s="1187"/>
      <c r="BG403" s="1187"/>
    </row>
    <row r="404" spans="18:59" x14ac:dyDescent="0.3">
      <c r="R404" s="1187"/>
      <c r="S404" s="1187"/>
      <c r="W404" s="1187"/>
      <c r="X404" s="1187"/>
      <c r="AE404" s="1187"/>
      <c r="AF404" s="1187"/>
      <c r="AV404" s="1187"/>
      <c r="AW404" s="1187"/>
      <c r="AX404" s="1187"/>
      <c r="AY404" s="1187"/>
      <c r="AZ404" s="1187"/>
      <c r="BA404" s="1187"/>
      <c r="BC404" s="1187"/>
      <c r="BE404" s="1187"/>
      <c r="BF404" s="1187"/>
      <c r="BG404" s="1187"/>
    </row>
    <row r="405" spans="18:59" x14ac:dyDescent="0.3">
      <c r="R405" s="1187"/>
      <c r="S405" s="1187"/>
      <c r="W405" s="1187"/>
      <c r="X405" s="1187"/>
      <c r="AE405" s="1187"/>
      <c r="AF405" s="1187"/>
      <c r="AV405" s="1187"/>
      <c r="AW405" s="1187"/>
      <c r="AX405" s="1187"/>
      <c r="AY405" s="1187"/>
      <c r="AZ405" s="1187"/>
      <c r="BA405" s="1187"/>
      <c r="BC405" s="1187"/>
      <c r="BE405" s="1187"/>
      <c r="BF405" s="1187"/>
      <c r="BG405" s="1187"/>
    </row>
    <row r="406" spans="18:59" x14ac:dyDescent="0.3">
      <c r="R406" s="1187"/>
      <c r="S406" s="1187"/>
      <c r="W406" s="1187"/>
      <c r="X406" s="1187"/>
      <c r="AE406" s="1187"/>
      <c r="AF406" s="1187"/>
      <c r="AV406" s="1187"/>
      <c r="AW406" s="1187"/>
      <c r="AX406" s="1187"/>
      <c r="AY406" s="1187"/>
      <c r="AZ406" s="1187"/>
      <c r="BA406" s="1187"/>
      <c r="BC406" s="1187"/>
      <c r="BE406" s="1187"/>
      <c r="BF406" s="1187"/>
      <c r="BG406" s="1187"/>
    </row>
    <row r="407" spans="18:59" x14ac:dyDescent="0.3">
      <c r="R407" s="1187"/>
      <c r="S407" s="1187"/>
      <c r="W407" s="1187"/>
      <c r="X407" s="1187"/>
      <c r="AE407" s="1187"/>
      <c r="AF407" s="1187"/>
      <c r="AV407" s="1187"/>
      <c r="AW407" s="1187"/>
      <c r="AX407" s="1187"/>
      <c r="AY407" s="1187"/>
      <c r="AZ407" s="1187"/>
      <c r="BA407" s="1187"/>
      <c r="BC407" s="1187"/>
      <c r="BE407" s="1187"/>
      <c r="BF407" s="1187"/>
      <c r="BG407" s="1187"/>
    </row>
    <row r="408" spans="18:59" x14ac:dyDescent="0.3">
      <c r="R408" s="1187"/>
      <c r="S408" s="1187"/>
      <c r="W408" s="1187"/>
      <c r="X408" s="1187"/>
      <c r="AE408" s="1187"/>
      <c r="AF408" s="1187"/>
      <c r="AV408" s="1187"/>
      <c r="AW408" s="1187"/>
      <c r="AX408" s="1187"/>
      <c r="AY408" s="1187"/>
      <c r="AZ408" s="1187"/>
      <c r="BA408" s="1187"/>
      <c r="BC408" s="1187"/>
      <c r="BE408" s="1187"/>
      <c r="BF408" s="1187"/>
      <c r="BG408" s="1187"/>
    </row>
    <row r="409" spans="18:59" x14ac:dyDescent="0.3">
      <c r="R409" s="1187"/>
      <c r="S409" s="1187"/>
      <c r="W409" s="1187"/>
      <c r="X409" s="1187"/>
      <c r="AE409" s="1187"/>
      <c r="AF409" s="1187"/>
      <c r="AV409" s="1187"/>
      <c r="AW409" s="1187"/>
      <c r="AX409" s="1187"/>
      <c r="AY409" s="1187"/>
      <c r="AZ409" s="1187"/>
      <c r="BA409" s="1187"/>
      <c r="BC409" s="1187"/>
      <c r="BE409" s="1187"/>
      <c r="BF409" s="1187"/>
      <c r="BG409" s="1187"/>
    </row>
    <row r="410" spans="18:59" x14ac:dyDescent="0.3">
      <c r="R410" s="1187"/>
      <c r="S410" s="1187"/>
      <c r="W410" s="1187"/>
      <c r="X410" s="1187"/>
      <c r="AE410" s="1187"/>
      <c r="AF410" s="1187"/>
      <c r="AV410" s="1187"/>
      <c r="AW410" s="1187"/>
      <c r="AX410" s="1187"/>
      <c r="AY410" s="1187"/>
      <c r="AZ410" s="1187"/>
      <c r="BA410" s="1187"/>
      <c r="BC410" s="1187"/>
      <c r="BE410" s="1187"/>
      <c r="BF410" s="1187"/>
      <c r="BG410" s="1187"/>
    </row>
    <row r="411" spans="18:59" x14ac:dyDescent="0.3">
      <c r="R411" s="1187"/>
      <c r="S411" s="1187"/>
      <c r="W411" s="1187"/>
      <c r="X411" s="1187"/>
      <c r="AE411" s="1187"/>
      <c r="AF411" s="1187"/>
      <c r="AV411" s="1187"/>
      <c r="AW411" s="1187"/>
      <c r="AX411" s="1187"/>
      <c r="AY411" s="1187"/>
      <c r="AZ411" s="1187"/>
      <c r="BA411" s="1187"/>
      <c r="BC411" s="1187"/>
      <c r="BE411" s="1187"/>
      <c r="BF411" s="1187"/>
      <c r="BG411" s="1187"/>
    </row>
    <row r="412" spans="18:59" x14ac:dyDescent="0.3">
      <c r="R412" s="1187"/>
      <c r="S412" s="1187"/>
      <c r="W412" s="1187"/>
      <c r="X412" s="1187"/>
      <c r="AE412" s="1187"/>
      <c r="AF412" s="1187"/>
      <c r="AV412" s="1187"/>
      <c r="AW412" s="1187"/>
      <c r="AX412" s="1187"/>
      <c r="AY412" s="1187"/>
      <c r="AZ412" s="1187"/>
      <c r="BA412" s="1187"/>
      <c r="BC412" s="1187"/>
      <c r="BE412" s="1187"/>
      <c r="BF412" s="1187"/>
      <c r="BG412" s="1187"/>
    </row>
    <row r="413" spans="18:59" x14ac:dyDescent="0.3">
      <c r="R413" s="1187"/>
      <c r="S413" s="1187"/>
      <c r="W413" s="1187"/>
      <c r="X413" s="1187"/>
      <c r="AE413" s="1187"/>
      <c r="AF413" s="1187"/>
      <c r="AV413" s="1187"/>
      <c r="AW413" s="1187"/>
      <c r="AX413" s="1187"/>
      <c r="AY413" s="1187"/>
      <c r="AZ413" s="1187"/>
      <c r="BA413" s="1187"/>
      <c r="BC413" s="1187"/>
      <c r="BE413" s="1187"/>
      <c r="BF413" s="1187"/>
      <c r="BG413" s="1187"/>
    </row>
    <row r="414" spans="18:59" x14ac:dyDescent="0.3">
      <c r="R414" s="1187"/>
      <c r="S414" s="1187"/>
      <c r="W414" s="1187"/>
      <c r="X414" s="1187"/>
      <c r="AE414" s="1187"/>
      <c r="AF414" s="1187"/>
      <c r="AV414" s="1187"/>
      <c r="AW414" s="1187"/>
      <c r="AX414" s="1187"/>
      <c r="AY414" s="1187"/>
      <c r="AZ414" s="1187"/>
      <c r="BA414" s="1187"/>
      <c r="BC414" s="1187"/>
      <c r="BE414" s="1187"/>
      <c r="BF414" s="1187"/>
      <c r="BG414" s="1187"/>
    </row>
    <row r="415" spans="18:59" x14ac:dyDescent="0.3">
      <c r="R415" s="1187"/>
      <c r="S415" s="1187"/>
      <c r="W415" s="1187"/>
      <c r="X415" s="1187"/>
      <c r="AE415" s="1187"/>
      <c r="AF415" s="1187"/>
      <c r="AV415" s="1187"/>
      <c r="AW415" s="1187"/>
      <c r="AX415" s="1187"/>
      <c r="AY415" s="1187"/>
      <c r="AZ415" s="1187"/>
      <c r="BA415" s="1187"/>
      <c r="BC415" s="1187"/>
      <c r="BE415" s="1187"/>
      <c r="BF415" s="1187"/>
      <c r="BG415" s="1187"/>
    </row>
    <row r="416" spans="18:59" x14ac:dyDescent="0.3">
      <c r="R416" s="1187"/>
      <c r="S416" s="1187"/>
      <c r="W416" s="1187"/>
      <c r="X416" s="1187"/>
      <c r="AE416" s="1187"/>
      <c r="AF416" s="1187"/>
      <c r="AV416" s="1187"/>
      <c r="AW416" s="1187"/>
      <c r="AX416" s="1187"/>
      <c r="AY416" s="1187"/>
      <c r="AZ416" s="1187"/>
      <c r="BA416" s="1187"/>
      <c r="BC416" s="1187"/>
      <c r="BE416" s="1187"/>
      <c r="BF416" s="1187"/>
      <c r="BG416" s="1187"/>
    </row>
    <row r="417" spans="18:59" x14ac:dyDescent="0.3">
      <c r="R417" s="1187"/>
      <c r="S417" s="1187"/>
      <c r="W417" s="1187"/>
      <c r="X417" s="1187"/>
      <c r="AE417" s="1187"/>
      <c r="AF417" s="1187"/>
      <c r="AV417" s="1187"/>
      <c r="AW417" s="1187"/>
      <c r="AX417" s="1187"/>
      <c r="AY417" s="1187"/>
      <c r="AZ417" s="1187"/>
      <c r="BA417" s="1187"/>
      <c r="BC417" s="1187"/>
      <c r="BE417" s="1187"/>
      <c r="BF417" s="1187"/>
      <c r="BG417" s="1187"/>
    </row>
    <row r="418" spans="18:59" x14ac:dyDescent="0.3">
      <c r="R418" s="1187"/>
      <c r="S418" s="1187"/>
      <c r="W418" s="1187"/>
      <c r="X418" s="1187"/>
      <c r="AE418" s="1187"/>
      <c r="AF418" s="1187"/>
      <c r="AV418" s="1187"/>
      <c r="AW418" s="1187"/>
      <c r="AX418" s="1187"/>
      <c r="AY418" s="1187"/>
      <c r="AZ418" s="1187"/>
      <c r="BA418" s="1187"/>
      <c r="BC418" s="1187"/>
      <c r="BE418" s="1187"/>
      <c r="BF418" s="1187"/>
      <c r="BG418" s="1187"/>
    </row>
    <row r="419" spans="18:59" x14ac:dyDescent="0.3">
      <c r="R419" s="1187"/>
      <c r="S419" s="1187"/>
      <c r="W419" s="1187"/>
      <c r="X419" s="1187"/>
      <c r="AE419" s="1187"/>
      <c r="AF419" s="1187"/>
      <c r="AV419" s="1187"/>
      <c r="AW419" s="1187"/>
      <c r="AX419" s="1187"/>
      <c r="AY419" s="1187"/>
      <c r="AZ419" s="1187"/>
      <c r="BA419" s="1187"/>
      <c r="BC419" s="1187"/>
      <c r="BE419" s="1187"/>
      <c r="BF419" s="1187"/>
      <c r="BG419" s="1187"/>
    </row>
    <row r="420" spans="18:59" x14ac:dyDescent="0.3">
      <c r="R420" s="1187"/>
      <c r="S420" s="1187"/>
      <c r="W420" s="1187"/>
      <c r="X420" s="1187"/>
      <c r="AE420" s="1187"/>
      <c r="AF420" s="1187"/>
      <c r="AV420" s="1187"/>
      <c r="AW420" s="1187"/>
      <c r="AX420" s="1187"/>
      <c r="AY420" s="1187"/>
      <c r="AZ420" s="1187"/>
      <c r="BA420" s="1187"/>
      <c r="BC420" s="1187"/>
      <c r="BE420" s="1187"/>
      <c r="BF420" s="1187"/>
      <c r="BG420" s="1187"/>
    </row>
    <row r="421" spans="18:59" x14ac:dyDescent="0.3">
      <c r="R421" s="1187"/>
      <c r="S421" s="1187"/>
      <c r="W421" s="1187"/>
      <c r="X421" s="1187"/>
      <c r="AE421" s="1187"/>
      <c r="AF421" s="1187"/>
      <c r="AV421" s="1187"/>
      <c r="AW421" s="1187"/>
      <c r="AX421" s="1187"/>
      <c r="AY421" s="1187"/>
      <c r="AZ421" s="1187"/>
      <c r="BA421" s="1187"/>
      <c r="BC421" s="1187"/>
      <c r="BE421" s="1187"/>
      <c r="BF421" s="1187"/>
      <c r="BG421" s="1187"/>
    </row>
    <row r="422" spans="18:59" x14ac:dyDescent="0.3">
      <c r="R422" s="1187"/>
      <c r="S422" s="1187"/>
      <c r="W422" s="1187"/>
      <c r="X422" s="1187"/>
      <c r="AE422" s="1187"/>
      <c r="AF422" s="1187"/>
      <c r="AV422" s="1187"/>
      <c r="AW422" s="1187"/>
      <c r="AX422" s="1187"/>
      <c r="AY422" s="1187"/>
      <c r="AZ422" s="1187"/>
      <c r="BA422" s="1187"/>
      <c r="BC422" s="1187"/>
      <c r="BE422" s="1187"/>
      <c r="BF422" s="1187"/>
      <c r="BG422" s="1187"/>
    </row>
    <row r="423" spans="18:59" x14ac:dyDescent="0.3">
      <c r="R423" s="1187"/>
      <c r="S423" s="1187"/>
      <c r="W423" s="1187"/>
      <c r="X423" s="1187"/>
      <c r="AE423" s="1187"/>
      <c r="AF423" s="1187"/>
      <c r="AV423" s="1187"/>
      <c r="AW423" s="1187"/>
      <c r="AX423" s="1187"/>
      <c r="AY423" s="1187"/>
      <c r="AZ423" s="1187"/>
      <c r="BA423" s="1187"/>
      <c r="BC423" s="1187"/>
      <c r="BE423" s="1187"/>
      <c r="BF423" s="1187"/>
      <c r="BG423" s="1187"/>
    </row>
    <row r="424" spans="18:59" x14ac:dyDescent="0.3">
      <c r="R424" s="1187"/>
      <c r="S424" s="1187"/>
      <c r="W424" s="1187"/>
      <c r="X424" s="1187"/>
      <c r="AE424" s="1187"/>
      <c r="AF424" s="1187"/>
      <c r="AV424" s="1187"/>
      <c r="AW424" s="1187"/>
      <c r="AX424" s="1187"/>
      <c r="AY424" s="1187"/>
      <c r="AZ424" s="1187"/>
      <c r="BA424" s="1187"/>
      <c r="BC424" s="1187"/>
      <c r="BE424" s="1187"/>
      <c r="BF424" s="1187"/>
      <c r="BG424" s="1187"/>
    </row>
    <row r="425" spans="18:59" x14ac:dyDescent="0.3">
      <c r="R425" s="1187"/>
      <c r="S425" s="1187"/>
      <c r="W425" s="1187"/>
      <c r="X425" s="1187"/>
      <c r="AE425" s="1187"/>
      <c r="AF425" s="1187"/>
      <c r="AV425" s="1187"/>
      <c r="AW425" s="1187"/>
      <c r="AX425" s="1187"/>
      <c r="AY425" s="1187"/>
      <c r="AZ425" s="1187"/>
      <c r="BA425" s="1187"/>
      <c r="BC425" s="1187"/>
      <c r="BE425" s="1187"/>
      <c r="BF425" s="1187"/>
      <c r="BG425" s="1187"/>
    </row>
    <row r="426" spans="18:59" x14ac:dyDescent="0.3">
      <c r="R426" s="1187"/>
      <c r="S426" s="1187"/>
      <c r="W426" s="1187"/>
      <c r="X426" s="1187"/>
      <c r="AE426" s="1187"/>
      <c r="AF426" s="1187"/>
      <c r="AV426" s="1187"/>
      <c r="AW426" s="1187"/>
      <c r="AX426" s="1187"/>
      <c r="AY426" s="1187"/>
      <c r="AZ426" s="1187"/>
      <c r="BA426" s="1187"/>
      <c r="BC426" s="1187"/>
      <c r="BE426" s="1187"/>
      <c r="BF426" s="1187"/>
      <c r="BG426" s="1187"/>
    </row>
    <row r="427" spans="18:59" x14ac:dyDescent="0.3">
      <c r="R427" s="1187"/>
      <c r="S427" s="1187"/>
      <c r="W427" s="1187"/>
      <c r="X427" s="1187"/>
      <c r="AE427" s="1187"/>
      <c r="AF427" s="1187"/>
      <c r="AV427" s="1187"/>
      <c r="AW427" s="1187"/>
      <c r="AX427" s="1187"/>
      <c r="AY427" s="1187"/>
      <c r="AZ427" s="1187"/>
      <c r="BA427" s="1187"/>
      <c r="BC427" s="1187"/>
      <c r="BE427" s="1187"/>
      <c r="BF427" s="1187"/>
      <c r="BG427" s="1187"/>
    </row>
    <row r="428" spans="18:59" x14ac:dyDescent="0.3">
      <c r="R428" s="1187"/>
      <c r="S428" s="1187"/>
      <c r="W428" s="1187"/>
      <c r="X428" s="1187"/>
      <c r="AE428" s="1187"/>
      <c r="AF428" s="1187"/>
      <c r="AV428" s="1187"/>
      <c r="AW428" s="1187"/>
      <c r="AX428" s="1187"/>
      <c r="AY428" s="1187"/>
      <c r="AZ428" s="1187"/>
      <c r="BA428" s="1187"/>
      <c r="BC428" s="1187"/>
      <c r="BE428" s="1187"/>
      <c r="BF428" s="1187"/>
      <c r="BG428" s="1187"/>
    </row>
    <row r="429" spans="18:59" x14ac:dyDescent="0.3">
      <c r="R429" s="1187"/>
      <c r="S429" s="1187"/>
      <c r="W429" s="1187"/>
      <c r="X429" s="1187"/>
      <c r="AE429" s="1187"/>
      <c r="AF429" s="1187"/>
      <c r="AV429" s="1187"/>
      <c r="AW429" s="1187"/>
      <c r="AX429" s="1187"/>
      <c r="AY429" s="1187"/>
      <c r="AZ429" s="1187"/>
      <c r="BA429" s="1187"/>
      <c r="BC429" s="1187"/>
      <c r="BE429" s="1187"/>
      <c r="BF429" s="1187"/>
      <c r="BG429" s="1187"/>
    </row>
    <row r="430" spans="18:59" x14ac:dyDescent="0.3">
      <c r="R430" s="1187"/>
      <c r="S430" s="1187"/>
      <c r="W430" s="1187"/>
      <c r="X430" s="1187"/>
      <c r="AE430" s="1187"/>
      <c r="AF430" s="1187"/>
      <c r="AV430" s="1187"/>
      <c r="AW430" s="1187"/>
      <c r="AX430" s="1187"/>
      <c r="AY430" s="1187"/>
      <c r="AZ430" s="1187"/>
      <c r="BA430" s="1187"/>
      <c r="BC430" s="1187"/>
      <c r="BE430" s="1187"/>
      <c r="BF430" s="1187"/>
      <c r="BG430" s="1187"/>
    </row>
    <row r="431" spans="18:59" x14ac:dyDescent="0.3">
      <c r="R431" s="1187"/>
      <c r="S431" s="1187"/>
      <c r="W431" s="1187"/>
      <c r="X431" s="1187"/>
      <c r="AE431" s="1187"/>
      <c r="AF431" s="1187"/>
      <c r="AV431" s="1187"/>
      <c r="AW431" s="1187"/>
      <c r="AX431" s="1187"/>
      <c r="AY431" s="1187"/>
      <c r="AZ431" s="1187"/>
      <c r="BA431" s="1187"/>
      <c r="BC431" s="1187"/>
      <c r="BE431" s="1187"/>
      <c r="BF431" s="1187"/>
      <c r="BG431" s="1187"/>
    </row>
    <row r="432" spans="18:59" x14ac:dyDescent="0.3">
      <c r="R432" s="1187"/>
      <c r="S432" s="1187"/>
      <c r="W432" s="1187"/>
      <c r="X432" s="1187"/>
      <c r="AE432" s="1187"/>
      <c r="AF432" s="1187"/>
      <c r="AV432" s="1187"/>
      <c r="AW432" s="1187"/>
      <c r="AX432" s="1187"/>
      <c r="AY432" s="1187"/>
      <c r="AZ432" s="1187"/>
      <c r="BA432" s="1187"/>
      <c r="BC432" s="1187"/>
      <c r="BE432" s="1187"/>
      <c r="BF432" s="1187"/>
      <c r="BG432" s="1187"/>
    </row>
    <row r="433" spans="18:59" x14ac:dyDescent="0.3">
      <c r="R433" s="1187"/>
      <c r="S433" s="1187"/>
      <c r="W433" s="1187"/>
      <c r="X433" s="1187"/>
      <c r="AE433" s="1187"/>
      <c r="AF433" s="1187"/>
      <c r="AV433" s="1187"/>
      <c r="AW433" s="1187"/>
      <c r="AX433" s="1187"/>
      <c r="AY433" s="1187"/>
      <c r="AZ433" s="1187"/>
      <c r="BA433" s="1187"/>
      <c r="BC433" s="1187"/>
      <c r="BE433" s="1187"/>
      <c r="BF433" s="1187"/>
      <c r="BG433" s="1187"/>
    </row>
    <row r="434" spans="18:59" x14ac:dyDescent="0.3">
      <c r="R434" s="1187"/>
      <c r="S434" s="1187"/>
      <c r="W434" s="1187"/>
      <c r="X434" s="1187"/>
      <c r="AE434" s="1187"/>
      <c r="AF434" s="1187"/>
      <c r="AV434" s="1187"/>
      <c r="AW434" s="1187"/>
      <c r="AX434" s="1187"/>
      <c r="AY434" s="1187"/>
      <c r="AZ434" s="1187"/>
      <c r="BA434" s="1187"/>
      <c r="BC434" s="1187"/>
      <c r="BE434" s="1187"/>
      <c r="BF434" s="1187"/>
      <c r="BG434" s="1187"/>
    </row>
    <row r="435" spans="18:59" x14ac:dyDescent="0.3">
      <c r="R435" s="1187"/>
      <c r="S435" s="1187"/>
      <c r="W435" s="1187"/>
      <c r="X435" s="1187"/>
      <c r="AE435" s="1187"/>
      <c r="AF435" s="1187"/>
      <c r="AV435" s="1187"/>
      <c r="AW435" s="1187"/>
      <c r="AX435" s="1187"/>
      <c r="AY435" s="1187"/>
      <c r="AZ435" s="1187"/>
      <c r="BA435" s="1187"/>
      <c r="BC435" s="1187"/>
      <c r="BE435" s="1187"/>
      <c r="BF435" s="1187"/>
      <c r="BG435" s="1187"/>
    </row>
    <row r="436" spans="18:59" x14ac:dyDescent="0.3">
      <c r="R436" s="1187"/>
      <c r="S436" s="1187"/>
      <c r="W436" s="1187"/>
      <c r="X436" s="1187"/>
      <c r="AE436" s="1187"/>
      <c r="AF436" s="1187"/>
      <c r="AV436" s="1187"/>
      <c r="AW436" s="1187"/>
      <c r="AX436" s="1187"/>
      <c r="AY436" s="1187"/>
      <c r="AZ436" s="1187"/>
      <c r="BA436" s="1187"/>
      <c r="BC436" s="1187"/>
      <c r="BE436" s="1187"/>
      <c r="BF436" s="1187"/>
      <c r="BG436" s="1187"/>
    </row>
    <row r="437" spans="18:59" x14ac:dyDescent="0.3">
      <c r="R437" s="1187"/>
      <c r="S437" s="1187"/>
      <c r="W437" s="1187"/>
      <c r="X437" s="1187"/>
      <c r="AE437" s="1187"/>
      <c r="AF437" s="1187"/>
      <c r="AV437" s="1187"/>
      <c r="AW437" s="1187"/>
      <c r="AX437" s="1187"/>
      <c r="AY437" s="1187"/>
      <c r="AZ437" s="1187"/>
      <c r="BA437" s="1187"/>
      <c r="BC437" s="1187"/>
      <c r="BE437" s="1187"/>
      <c r="BF437" s="1187"/>
      <c r="BG437" s="1187"/>
    </row>
    <row r="438" spans="18:59" x14ac:dyDescent="0.3">
      <c r="R438" s="1187"/>
      <c r="S438" s="1187"/>
      <c r="W438" s="1187"/>
      <c r="X438" s="1187"/>
      <c r="AE438" s="1187"/>
      <c r="AF438" s="1187"/>
      <c r="AV438" s="1187"/>
      <c r="AW438" s="1187"/>
      <c r="AX438" s="1187"/>
      <c r="AY438" s="1187"/>
      <c r="AZ438" s="1187"/>
      <c r="BA438" s="1187"/>
      <c r="BC438" s="1187"/>
      <c r="BE438" s="1187"/>
      <c r="BF438" s="1187"/>
      <c r="BG438" s="1187"/>
    </row>
    <row r="439" spans="18:59" x14ac:dyDescent="0.3">
      <c r="R439" s="1187"/>
      <c r="S439" s="1187"/>
      <c r="W439" s="1187"/>
      <c r="X439" s="1187"/>
      <c r="AE439" s="1187"/>
      <c r="AF439" s="1187"/>
      <c r="AV439" s="1187"/>
      <c r="AW439" s="1187"/>
      <c r="AX439" s="1187"/>
      <c r="AY439" s="1187"/>
      <c r="AZ439" s="1187"/>
      <c r="BA439" s="1187"/>
      <c r="BC439" s="1187"/>
      <c r="BE439" s="1187"/>
      <c r="BF439" s="1187"/>
      <c r="BG439" s="1187"/>
    </row>
    <row r="440" spans="18:59" x14ac:dyDescent="0.3">
      <c r="R440" s="1187"/>
      <c r="S440" s="1187"/>
      <c r="W440" s="1187"/>
      <c r="X440" s="1187"/>
      <c r="AE440" s="1187"/>
      <c r="AF440" s="1187"/>
      <c r="AV440" s="1187"/>
      <c r="AW440" s="1187"/>
      <c r="AX440" s="1187"/>
      <c r="AY440" s="1187"/>
      <c r="AZ440" s="1187"/>
      <c r="BA440" s="1187"/>
      <c r="BC440" s="1187"/>
      <c r="BE440" s="1187"/>
      <c r="BF440" s="1187"/>
      <c r="BG440" s="1187"/>
    </row>
    <row r="441" spans="18:59" x14ac:dyDescent="0.3">
      <c r="R441" s="1187"/>
      <c r="S441" s="1187"/>
      <c r="W441" s="1187"/>
      <c r="X441" s="1187"/>
      <c r="AE441" s="1187"/>
      <c r="AF441" s="1187"/>
      <c r="AV441" s="1187"/>
      <c r="AW441" s="1187"/>
      <c r="AX441" s="1187"/>
      <c r="AY441" s="1187"/>
      <c r="AZ441" s="1187"/>
      <c r="BA441" s="1187"/>
      <c r="BC441" s="1187"/>
      <c r="BE441" s="1187"/>
      <c r="BF441" s="1187"/>
      <c r="BG441" s="1187"/>
    </row>
    <row r="442" spans="18:59" x14ac:dyDescent="0.3">
      <c r="R442" s="1187"/>
      <c r="S442" s="1187"/>
      <c r="W442" s="1187"/>
      <c r="X442" s="1187"/>
      <c r="AE442" s="1187"/>
      <c r="AF442" s="1187"/>
      <c r="AV442" s="1187"/>
      <c r="AW442" s="1187"/>
      <c r="AX442" s="1187"/>
      <c r="AY442" s="1187"/>
      <c r="AZ442" s="1187"/>
      <c r="BA442" s="1187"/>
      <c r="BC442" s="1187"/>
      <c r="BE442" s="1187"/>
      <c r="BF442" s="1187"/>
      <c r="BG442" s="1187"/>
    </row>
    <row r="443" spans="18:59" x14ac:dyDescent="0.3">
      <c r="R443" s="1187"/>
      <c r="S443" s="1187"/>
      <c r="W443" s="1187"/>
      <c r="X443" s="1187"/>
      <c r="AE443" s="1187"/>
      <c r="AF443" s="1187"/>
      <c r="AV443" s="1187"/>
      <c r="AW443" s="1187"/>
      <c r="AX443" s="1187"/>
      <c r="AY443" s="1187"/>
      <c r="AZ443" s="1187"/>
      <c r="BA443" s="1187"/>
      <c r="BC443" s="1187"/>
      <c r="BE443" s="1187"/>
      <c r="BF443" s="1187"/>
      <c r="BG443" s="1187"/>
    </row>
    <row r="444" spans="18:59" x14ac:dyDescent="0.3">
      <c r="R444" s="1187"/>
      <c r="S444" s="1187"/>
      <c r="W444" s="1187"/>
      <c r="X444" s="1187"/>
      <c r="AE444" s="1187"/>
      <c r="AF444" s="1187"/>
      <c r="AV444" s="1187"/>
      <c r="AW444" s="1187"/>
      <c r="AX444" s="1187"/>
      <c r="AY444" s="1187"/>
      <c r="AZ444" s="1187"/>
      <c r="BA444" s="1187"/>
      <c r="BC444" s="1187"/>
      <c r="BE444" s="1187"/>
      <c r="BF444" s="1187"/>
      <c r="BG444" s="1187"/>
    </row>
    <row r="445" spans="18:59" x14ac:dyDescent="0.3">
      <c r="R445" s="1187"/>
      <c r="S445" s="1187"/>
      <c r="W445" s="1187"/>
      <c r="X445" s="1187"/>
      <c r="AE445" s="1187"/>
      <c r="AF445" s="1187"/>
      <c r="AV445" s="1187"/>
      <c r="AW445" s="1187"/>
      <c r="AX445" s="1187"/>
      <c r="AY445" s="1187"/>
      <c r="AZ445" s="1187"/>
      <c r="BA445" s="1187"/>
      <c r="BC445" s="1187"/>
      <c r="BE445" s="1187"/>
      <c r="BF445" s="1187"/>
      <c r="BG445" s="1187"/>
    </row>
    <row r="446" spans="18:59" x14ac:dyDescent="0.3">
      <c r="R446" s="1187"/>
      <c r="S446" s="1187"/>
      <c r="W446" s="1187"/>
      <c r="X446" s="1187"/>
      <c r="AE446" s="1187"/>
      <c r="AF446" s="1187"/>
      <c r="AV446" s="1187"/>
      <c r="AW446" s="1187"/>
      <c r="AX446" s="1187"/>
      <c r="AY446" s="1187"/>
      <c r="AZ446" s="1187"/>
      <c r="BA446" s="1187"/>
      <c r="BC446" s="1187"/>
      <c r="BE446" s="1187"/>
      <c r="BF446" s="1187"/>
      <c r="BG446" s="1187"/>
    </row>
    <row r="447" spans="18:59" x14ac:dyDescent="0.3">
      <c r="R447" s="1187"/>
      <c r="S447" s="1187"/>
      <c r="W447" s="1187"/>
      <c r="X447" s="1187"/>
      <c r="AE447" s="1187"/>
      <c r="AF447" s="1187"/>
      <c r="AV447" s="1187"/>
      <c r="AW447" s="1187"/>
      <c r="AX447" s="1187"/>
      <c r="AY447" s="1187"/>
      <c r="AZ447" s="1187"/>
      <c r="BA447" s="1187"/>
      <c r="BC447" s="1187"/>
      <c r="BE447" s="1187"/>
      <c r="BF447" s="1187"/>
      <c r="BG447" s="1187"/>
    </row>
    <row r="448" spans="18:59" x14ac:dyDescent="0.3">
      <c r="R448" s="1187"/>
      <c r="S448" s="1187"/>
      <c r="W448" s="1187"/>
      <c r="X448" s="1187"/>
      <c r="AE448" s="1187"/>
      <c r="AF448" s="1187"/>
      <c r="AV448" s="1187"/>
      <c r="AW448" s="1187"/>
      <c r="AX448" s="1187"/>
      <c r="AY448" s="1187"/>
      <c r="AZ448" s="1187"/>
      <c r="BA448" s="1187"/>
      <c r="BC448" s="1187"/>
      <c r="BE448" s="1187"/>
      <c r="BF448" s="1187"/>
      <c r="BG448" s="1187"/>
    </row>
    <row r="449" spans="18:59" x14ac:dyDescent="0.3">
      <c r="R449" s="1187"/>
      <c r="S449" s="1187"/>
      <c r="W449" s="1187"/>
      <c r="X449" s="1187"/>
      <c r="AE449" s="1187"/>
      <c r="AF449" s="1187"/>
      <c r="AV449" s="1187"/>
      <c r="AW449" s="1187"/>
      <c r="AX449" s="1187"/>
      <c r="AY449" s="1187"/>
      <c r="AZ449" s="1187"/>
      <c r="BA449" s="1187"/>
      <c r="BC449" s="1187"/>
      <c r="BE449" s="1187"/>
      <c r="BF449" s="1187"/>
      <c r="BG449" s="1187"/>
    </row>
    <row r="450" spans="18:59" x14ac:dyDescent="0.3">
      <c r="R450" s="1187"/>
      <c r="S450" s="1187"/>
      <c r="W450" s="1187"/>
      <c r="X450" s="1187"/>
      <c r="AE450" s="1187"/>
      <c r="AF450" s="1187"/>
      <c r="AV450" s="1187"/>
      <c r="AW450" s="1187"/>
      <c r="AX450" s="1187"/>
      <c r="AY450" s="1187"/>
      <c r="AZ450" s="1187"/>
      <c r="BA450" s="1187"/>
      <c r="BC450" s="1187"/>
      <c r="BE450" s="1187"/>
      <c r="BF450" s="1187"/>
      <c r="BG450" s="1187"/>
    </row>
    <row r="451" spans="18:59" x14ac:dyDescent="0.3">
      <c r="R451" s="1187"/>
      <c r="S451" s="1187"/>
      <c r="W451" s="1187"/>
      <c r="X451" s="1187"/>
      <c r="AE451" s="1187"/>
      <c r="AF451" s="1187"/>
      <c r="AV451" s="1187"/>
      <c r="AW451" s="1187"/>
      <c r="AX451" s="1187"/>
      <c r="AY451" s="1187"/>
      <c r="AZ451" s="1187"/>
      <c r="BA451" s="1187"/>
      <c r="BC451" s="1187"/>
      <c r="BE451" s="1187"/>
      <c r="BF451" s="1187"/>
      <c r="BG451" s="1187"/>
    </row>
    <row r="452" spans="18:59" x14ac:dyDescent="0.3">
      <c r="R452" s="1187"/>
      <c r="S452" s="1187"/>
      <c r="W452" s="1187"/>
      <c r="X452" s="1187"/>
      <c r="AE452" s="1187"/>
      <c r="AF452" s="1187"/>
      <c r="AV452" s="1187"/>
      <c r="AW452" s="1187"/>
      <c r="AX452" s="1187"/>
      <c r="AY452" s="1187"/>
      <c r="AZ452" s="1187"/>
      <c r="BA452" s="1187"/>
      <c r="BC452" s="1187"/>
      <c r="BE452" s="1187"/>
      <c r="BF452" s="1187"/>
      <c r="BG452" s="1187"/>
    </row>
    <row r="453" spans="18:59" x14ac:dyDescent="0.3">
      <c r="R453" s="1187"/>
      <c r="S453" s="1187"/>
      <c r="W453" s="1187"/>
      <c r="X453" s="1187"/>
      <c r="AE453" s="1187"/>
      <c r="AF453" s="1187"/>
      <c r="AV453" s="1187"/>
      <c r="AW453" s="1187"/>
      <c r="AX453" s="1187"/>
      <c r="AY453" s="1187"/>
      <c r="AZ453" s="1187"/>
      <c r="BA453" s="1187"/>
      <c r="BC453" s="1187"/>
      <c r="BE453" s="1187"/>
      <c r="BF453" s="1187"/>
      <c r="BG453" s="1187"/>
    </row>
    <row r="454" spans="18:59" x14ac:dyDescent="0.3">
      <c r="R454" s="1187"/>
      <c r="S454" s="1187"/>
      <c r="W454" s="1187"/>
      <c r="X454" s="1187"/>
      <c r="AE454" s="1187"/>
      <c r="AF454" s="1187"/>
      <c r="AV454" s="1187"/>
      <c r="AW454" s="1187"/>
      <c r="AX454" s="1187"/>
      <c r="AY454" s="1187"/>
      <c r="AZ454" s="1187"/>
      <c r="BA454" s="1187"/>
      <c r="BC454" s="1187"/>
      <c r="BE454" s="1187"/>
      <c r="BF454" s="1187"/>
      <c r="BG454" s="1187"/>
    </row>
    <row r="455" spans="18:59" x14ac:dyDescent="0.3">
      <c r="R455" s="1187"/>
      <c r="S455" s="1187"/>
      <c r="W455" s="1187"/>
      <c r="X455" s="1187"/>
      <c r="AE455" s="1187"/>
      <c r="AF455" s="1187"/>
      <c r="AV455" s="1187"/>
      <c r="AW455" s="1187"/>
      <c r="AX455" s="1187"/>
      <c r="AY455" s="1187"/>
      <c r="AZ455" s="1187"/>
      <c r="BA455" s="1187"/>
      <c r="BC455" s="1187"/>
      <c r="BE455" s="1187"/>
      <c r="BF455" s="1187"/>
      <c r="BG455" s="1187"/>
    </row>
    <row r="456" spans="18:59" x14ac:dyDescent="0.3">
      <c r="R456" s="1187"/>
      <c r="S456" s="1187"/>
      <c r="W456" s="1187"/>
      <c r="X456" s="1187"/>
      <c r="AE456" s="1187"/>
      <c r="AF456" s="1187"/>
      <c r="AV456" s="1187"/>
      <c r="AW456" s="1187"/>
      <c r="AX456" s="1187"/>
      <c r="AY456" s="1187"/>
      <c r="AZ456" s="1187"/>
      <c r="BA456" s="1187"/>
      <c r="BC456" s="1187"/>
      <c r="BE456" s="1187"/>
      <c r="BF456" s="1187"/>
      <c r="BG456" s="1187"/>
    </row>
    <row r="457" spans="18:59" x14ac:dyDescent="0.3">
      <c r="R457" s="1187"/>
      <c r="S457" s="1187"/>
      <c r="W457" s="1187"/>
      <c r="X457" s="1187"/>
      <c r="AE457" s="1187"/>
      <c r="AF457" s="1187"/>
      <c r="AV457" s="1187"/>
      <c r="AW457" s="1187"/>
      <c r="AX457" s="1187"/>
      <c r="AY457" s="1187"/>
      <c r="AZ457" s="1187"/>
      <c r="BA457" s="1187"/>
      <c r="BC457" s="1187"/>
      <c r="BE457" s="1187"/>
      <c r="BF457" s="1187"/>
      <c r="BG457" s="1187"/>
    </row>
    <row r="458" spans="18:59" x14ac:dyDescent="0.3">
      <c r="R458" s="1187"/>
      <c r="S458" s="1187"/>
      <c r="W458" s="1187"/>
      <c r="X458" s="1187"/>
      <c r="AE458" s="1187"/>
      <c r="AF458" s="1187"/>
      <c r="AV458" s="1187"/>
      <c r="AW458" s="1187"/>
      <c r="AX458" s="1187"/>
      <c r="AY458" s="1187"/>
      <c r="AZ458" s="1187"/>
      <c r="BA458" s="1187"/>
      <c r="BC458" s="1187"/>
      <c r="BE458" s="1187"/>
      <c r="BF458" s="1187"/>
      <c r="BG458" s="1187"/>
    </row>
    <row r="459" spans="18:59" x14ac:dyDescent="0.3">
      <c r="R459" s="1187"/>
      <c r="S459" s="1187"/>
      <c r="W459" s="1187"/>
      <c r="X459" s="1187"/>
      <c r="AE459" s="1187"/>
      <c r="AF459" s="1187"/>
      <c r="AV459" s="1187"/>
      <c r="AW459" s="1187"/>
      <c r="AX459" s="1187"/>
      <c r="AY459" s="1187"/>
      <c r="AZ459" s="1187"/>
      <c r="BA459" s="1187"/>
      <c r="BC459" s="1187"/>
      <c r="BE459" s="1187"/>
      <c r="BF459" s="1187"/>
      <c r="BG459" s="1187"/>
    </row>
    <row r="460" spans="18:59" x14ac:dyDescent="0.3">
      <c r="R460" s="1187"/>
      <c r="S460" s="1187"/>
      <c r="W460" s="1187"/>
      <c r="X460" s="1187"/>
      <c r="AE460" s="1187"/>
      <c r="AF460" s="1187"/>
      <c r="AV460" s="1187"/>
      <c r="AW460" s="1187"/>
      <c r="AX460" s="1187"/>
      <c r="AY460" s="1187"/>
      <c r="AZ460" s="1187"/>
      <c r="BA460" s="1187"/>
      <c r="BC460" s="1187"/>
      <c r="BE460" s="1187"/>
      <c r="BF460" s="1187"/>
      <c r="BG460" s="1187"/>
    </row>
    <row r="461" spans="18:59" x14ac:dyDescent="0.3">
      <c r="R461" s="1187"/>
      <c r="S461" s="1187"/>
      <c r="W461" s="1187"/>
      <c r="X461" s="1187"/>
      <c r="AE461" s="1187"/>
      <c r="AF461" s="1187"/>
      <c r="AV461" s="1187"/>
      <c r="AW461" s="1187"/>
      <c r="AX461" s="1187"/>
      <c r="AY461" s="1187"/>
      <c r="AZ461" s="1187"/>
      <c r="BA461" s="1187"/>
      <c r="BC461" s="1187"/>
      <c r="BE461" s="1187"/>
      <c r="BF461" s="1187"/>
      <c r="BG461" s="1187"/>
    </row>
    <row r="462" spans="18:59" x14ac:dyDescent="0.3">
      <c r="R462" s="1187"/>
      <c r="S462" s="1187"/>
      <c r="W462" s="1187"/>
      <c r="X462" s="1187"/>
      <c r="AE462" s="1187"/>
      <c r="AF462" s="1187"/>
      <c r="AV462" s="1187"/>
      <c r="AW462" s="1187"/>
      <c r="AX462" s="1187"/>
      <c r="AY462" s="1187"/>
      <c r="AZ462" s="1187"/>
      <c r="BA462" s="1187"/>
      <c r="BC462" s="1187"/>
      <c r="BE462" s="1187"/>
      <c r="BF462" s="1187"/>
      <c r="BG462" s="1187"/>
    </row>
    <row r="463" spans="18:59" x14ac:dyDescent="0.3">
      <c r="R463" s="1187"/>
      <c r="S463" s="1187"/>
      <c r="W463" s="1187"/>
      <c r="X463" s="1187"/>
      <c r="AE463" s="1187"/>
      <c r="AF463" s="1187"/>
      <c r="AV463" s="1187"/>
      <c r="AW463" s="1187"/>
      <c r="AX463" s="1187"/>
      <c r="AY463" s="1187"/>
      <c r="AZ463" s="1187"/>
      <c r="BA463" s="1187"/>
      <c r="BC463" s="1187"/>
      <c r="BE463" s="1187"/>
      <c r="BF463" s="1187"/>
      <c r="BG463" s="1187"/>
    </row>
    <row r="464" spans="18:59" x14ac:dyDescent="0.3">
      <c r="R464" s="1187"/>
      <c r="S464" s="1187"/>
      <c r="W464" s="1187"/>
      <c r="X464" s="1187"/>
      <c r="AE464" s="1187"/>
      <c r="AF464" s="1187"/>
      <c r="AV464" s="1187"/>
      <c r="AW464" s="1187"/>
      <c r="AX464" s="1187"/>
      <c r="AY464" s="1187"/>
      <c r="AZ464" s="1187"/>
      <c r="BA464" s="1187"/>
      <c r="BC464" s="1187"/>
      <c r="BE464" s="1187"/>
      <c r="BF464" s="1187"/>
      <c r="BG464" s="1187"/>
    </row>
    <row r="465" spans="18:59" x14ac:dyDescent="0.3">
      <c r="R465" s="1187"/>
      <c r="S465" s="1187"/>
      <c r="W465" s="1187"/>
      <c r="X465" s="1187"/>
      <c r="AE465" s="1187"/>
      <c r="AF465" s="1187"/>
      <c r="AV465" s="1187"/>
      <c r="AW465" s="1187"/>
      <c r="AX465" s="1187"/>
      <c r="AY465" s="1187"/>
      <c r="AZ465" s="1187"/>
      <c r="BA465" s="1187"/>
      <c r="BC465" s="1187"/>
      <c r="BE465" s="1187"/>
      <c r="BF465" s="1187"/>
      <c r="BG465" s="1187"/>
    </row>
    <row r="466" spans="18:59" x14ac:dyDescent="0.3">
      <c r="R466" s="1187"/>
      <c r="S466" s="1187"/>
      <c r="W466" s="1187"/>
      <c r="X466" s="1187"/>
      <c r="AE466" s="1187"/>
      <c r="AF466" s="1187"/>
      <c r="AV466" s="1187"/>
      <c r="AW466" s="1187"/>
      <c r="AX466" s="1187"/>
      <c r="AY466" s="1187"/>
      <c r="AZ466" s="1187"/>
      <c r="BA466" s="1187"/>
      <c r="BC466" s="1187"/>
      <c r="BE466" s="1187"/>
      <c r="BF466" s="1187"/>
      <c r="BG466" s="1187"/>
    </row>
    <row r="467" spans="18:59" x14ac:dyDescent="0.3">
      <c r="R467" s="1187"/>
      <c r="S467" s="1187"/>
      <c r="W467" s="1187"/>
      <c r="X467" s="1187"/>
      <c r="AE467" s="1187"/>
      <c r="AF467" s="1187"/>
      <c r="AV467" s="1187"/>
      <c r="AW467" s="1187"/>
      <c r="AX467" s="1187"/>
      <c r="AY467" s="1187"/>
      <c r="AZ467" s="1187"/>
      <c r="BA467" s="1187"/>
      <c r="BC467" s="1187"/>
      <c r="BE467" s="1187"/>
      <c r="BF467" s="1187"/>
      <c r="BG467" s="1187"/>
    </row>
    <row r="468" spans="18:59" x14ac:dyDescent="0.3">
      <c r="R468" s="1187"/>
      <c r="S468" s="1187"/>
      <c r="W468" s="1187"/>
      <c r="X468" s="1187"/>
      <c r="AE468" s="1187"/>
      <c r="AF468" s="1187"/>
      <c r="AV468" s="1187"/>
      <c r="AW468" s="1187"/>
      <c r="AX468" s="1187"/>
      <c r="AY468" s="1187"/>
      <c r="AZ468" s="1187"/>
      <c r="BA468" s="1187"/>
      <c r="BC468" s="1187"/>
      <c r="BE468" s="1187"/>
      <c r="BF468" s="1187"/>
      <c r="BG468" s="1187"/>
    </row>
    <row r="469" spans="18:59" x14ac:dyDescent="0.3">
      <c r="R469" s="1187"/>
      <c r="S469" s="1187"/>
      <c r="W469" s="1187"/>
      <c r="X469" s="1187"/>
      <c r="AE469" s="1187"/>
      <c r="AF469" s="1187"/>
      <c r="AV469" s="1187"/>
      <c r="AW469" s="1187"/>
      <c r="AX469" s="1187"/>
      <c r="AY469" s="1187"/>
      <c r="AZ469" s="1187"/>
      <c r="BA469" s="1187"/>
      <c r="BC469" s="1187"/>
      <c r="BE469" s="1187"/>
      <c r="BF469" s="1187"/>
      <c r="BG469" s="1187"/>
    </row>
    <row r="470" spans="18:59" x14ac:dyDescent="0.3">
      <c r="R470" s="1187"/>
      <c r="S470" s="1187"/>
      <c r="W470" s="1187"/>
      <c r="X470" s="1187"/>
      <c r="AE470" s="1187"/>
      <c r="AF470" s="1187"/>
      <c r="AV470" s="1187"/>
      <c r="AW470" s="1187"/>
      <c r="AX470" s="1187"/>
      <c r="AY470" s="1187"/>
      <c r="AZ470" s="1187"/>
      <c r="BA470" s="1187"/>
      <c r="BC470" s="1187"/>
      <c r="BE470" s="1187"/>
      <c r="BF470" s="1187"/>
      <c r="BG470" s="1187"/>
    </row>
    <row r="471" spans="18:59" x14ac:dyDescent="0.3">
      <c r="R471" s="1187"/>
      <c r="S471" s="1187"/>
      <c r="W471" s="1187"/>
      <c r="X471" s="1187"/>
      <c r="AE471" s="1187"/>
      <c r="AF471" s="1187"/>
      <c r="AV471" s="1187"/>
      <c r="AW471" s="1187"/>
      <c r="AX471" s="1187"/>
      <c r="AY471" s="1187"/>
      <c r="AZ471" s="1187"/>
      <c r="BA471" s="1187"/>
      <c r="BC471" s="1187"/>
      <c r="BE471" s="1187"/>
      <c r="BF471" s="1187"/>
      <c r="BG471" s="1187"/>
    </row>
    <row r="472" spans="18:59" x14ac:dyDescent="0.3">
      <c r="R472" s="1187"/>
      <c r="S472" s="1187"/>
      <c r="W472" s="1187"/>
      <c r="X472" s="1187"/>
      <c r="AE472" s="1187"/>
      <c r="AF472" s="1187"/>
      <c r="AV472" s="1187"/>
      <c r="AW472" s="1187"/>
      <c r="AX472" s="1187"/>
      <c r="AY472" s="1187"/>
      <c r="AZ472" s="1187"/>
      <c r="BA472" s="1187"/>
      <c r="BC472" s="1187"/>
      <c r="BE472" s="1187"/>
      <c r="BF472" s="1187"/>
      <c r="BG472" s="1187"/>
    </row>
    <row r="473" spans="18:59" x14ac:dyDescent="0.3">
      <c r="R473" s="1187"/>
      <c r="S473" s="1187"/>
      <c r="W473" s="1187"/>
      <c r="X473" s="1187"/>
      <c r="AE473" s="1187"/>
      <c r="AF473" s="1187"/>
      <c r="AV473" s="1187"/>
      <c r="AW473" s="1187"/>
      <c r="AX473" s="1187"/>
      <c r="AY473" s="1187"/>
      <c r="AZ473" s="1187"/>
      <c r="BA473" s="1187"/>
      <c r="BC473" s="1187"/>
      <c r="BE473" s="1187"/>
      <c r="BF473" s="1187"/>
      <c r="BG473" s="1187"/>
    </row>
    <row r="474" spans="18:59" x14ac:dyDescent="0.3">
      <c r="R474" s="1187"/>
      <c r="S474" s="1187"/>
      <c r="W474" s="1187"/>
      <c r="X474" s="1187"/>
      <c r="AE474" s="1187"/>
      <c r="AF474" s="1187"/>
      <c r="AV474" s="1187"/>
      <c r="AW474" s="1187"/>
      <c r="AX474" s="1187"/>
      <c r="AY474" s="1187"/>
      <c r="AZ474" s="1187"/>
      <c r="BA474" s="1187"/>
      <c r="BC474" s="1187"/>
      <c r="BE474" s="1187"/>
      <c r="BF474" s="1187"/>
      <c r="BG474" s="1187"/>
    </row>
    <row r="475" spans="18:59" x14ac:dyDescent="0.3">
      <c r="R475" s="1187"/>
      <c r="S475" s="1187"/>
      <c r="W475" s="1187"/>
      <c r="X475" s="1187"/>
      <c r="AE475" s="1187"/>
      <c r="AF475" s="1187"/>
      <c r="AV475" s="1187"/>
      <c r="AW475" s="1187"/>
      <c r="AX475" s="1187"/>
      <c r="AY475" s="1187"/>
      <c r="AZ475" s="1187"/>
      <c r="BA475" s="1187"/>
      <c r="BC475" s="1187"/>
      <c r="BE475" s="1187"/>
      <c r="BF475" s="1187"/>
      <c r="BG475" s="1187"/>
    </row>
    <row r="476" spans="18:59" x14ac:dyDescent="0.3">
      <c r="R476" s="1187"/>
      <c r="S476" s="1187"/>
      <c r="W476" s="1187"/>
      <c r="X476" s="1187"/>
      <c r="AE476" s="1187"/>
      <c r="AF476" s="1187"/>
      <c r="AV476" s="1187"/>
      <c r="AW476" s="1187"/>
      <c r="AX476" s="1187"/>
      <c r="AY476" s="1187"/>
      <c r="AZ476" s="1187"/>
      <c r="BA476" s="1187"/>
      <c r="BC476" s="1187"/>
      <c r="BE476" s="1187"/>
      <c r="BF476" s="1187"/>
      <c r="BG476" s="1187"/>
    </row>
    <row r="477" spans="18:59" x14ac:dyDescent="0.3">
      <c r="R477" s="1187"/>
      <c r="S477" s="1187"/>
      <c r="W477" s="1187"/>
      <c r="X477" s="1187"/>
      <c r="AE477" s="1187"/>
      <c r="AF477" s="1187"/>
      <c r="AV477" s="1187"/>
      <c r="AW477" s="1187"/>
      <c r="AX477" s="1187"/>
      <c r="AY477" s="1187"/>
      <c r="AZ477" s="1187"/>
      <c r="BA477" s="1187"/>
      <c r="BC477" s="1187"/>
      <c r="BE477" s="1187"/>
      <c r="BF477" s="1187"/>
      <c r="BG477" s="1187"/>
    </row>
    <row r="478" spans="18:59" x14ac:dyDescent="0.3">
      <c r="R478" s="1187"/>
      <c r="S478" s="1187"/>
      <c r="W478" s="1187"/>
      <c r="X478" s="1187"/>
      <c r="AE478" s="1187"/>
      <c r="AF478" s="1187"/>
      <c r="AV478" s="1187"/>
      <c r="AW478" s="1187"/>
      <c r="AX478" s="1187"/>
      <c r="AY478" s="1187"/>
      <c r="AZ478" s="1187"/>
      <c r="BA478" s="1187"/>
      <c r="BC478" s="1187"/>
      <c r="BE478" s="1187"/>
      <c r="BF478" s="1187"/>
      <c r="BG478" s="1187"/>
    </row>
    <row r="479" spans="18:59" x14ac:dyDescent="0.3">
      <c r="R479" s="1187"/>
      <c r="S479" s="1187"/>
      <c r="W479" s="1187"/>
      <c r="X479" s="1187"/>
      <c r="AE479" s="1187"/>
      <c r="AF479" s="1187"/>
      <c r="AV479" s="1187"/>
      <c r="AW479" s="1187"/>
      <c r="AX479" s="1187"/>
      <c r="AY479" s="1187"/>
      <c r="AZ479" s="1187"/>
      <c r="BA479" s="1187"/>
      <c r="BC479" s="1187"/>
      <c r="BE479" s="1187"/>
      <c r="BF479" s="1187"/>
      <c r="BG479" s="1187"/>
    </row>
    <row r="480" spans="18:59" x14ac:dyDescent="0.3">
      <c r="R480" s="1187"/>
      <c r="S480" s="1187"/>
      <c r="W480" s="1187"/>
      <c r="X480" s="1187"/>
      <c r="AE480" s="1187"/>
      <c r="AF480" s="1187"/>
      <c r="AV480" s="1187"/>
      <c r="AW480" s="1187"/>
      <c r="AX480" s="1187"/>
      <c r="AY480" s="1187"/>
      <c r="AZ480" s="1187"/>
      <c r="BA480" s="1187"/>
      <c r="BC480" s="1187"/>
      <c r="BE480" s="1187"/>
      <c r="BF480" s="1187"/>
      <c r="BG480" s="1187"/>
    </row>
    <row r="481" spans="18:59" x14ac:dyDescent="0.3">
      <c r="R481" s="1187"/>
      <c r="S481" s="1187"/>
      <c r="W481" s="1187"/>
      <c r="X481" s="1187"/>
      <c r="AE481" s="1187"/>
      <c r="AF481" s="1187"/>
      <c r="AV481" s="1187"/>
      <c r="AW481" s="1187"/>
      <c r="AX481" s="1187"/>
      <c r="AY481" s="1187"/>
      <c r="AZ481" s="1187"/>
      <c r="BA481" s="1187"/>
      <c r="BC481" s="1187"/>
      <c r="BE481" s="1187"/>
      <c r="BF481" s="1187"/>
      <c r="BG481" s="1187"/>
    </row>
    <row r="482" spans="18:59" x14ac:dyDescent="0.3">
      <c r="R482" s="1187"/>
      <c r="S482" s="1187"/>
      <c r="W482" s="1187"/>
      <c r="X482" s="1187"/>
      <c r="AE482" s="1187"/>
      <c r="AF482" s="1187"/>
      <c r="AV482" s="1187"/>
      <c r="AW482" s="1187"/>
      <c r="AX482" s="1187"/>
      <c r="AY482" s="1187"/>
      <c r="AZ482" s="1187"/>
      <c r="BA482" s="1187"/>
      <c r="BC482" s="1187"/>
      <c r="BE482" s="1187"/>
      <c r="BF482" s="1187"/>
      <c r="BG482" s="1187"/>
    </row>
    <row r="483" spans="18:59" x14ac:dyDescent="0.3">
      <c r="R483" s="1187"/>
      <c r="S483" s="1187"/>
      <c r="W483" s="1187"/>
      <c r="X483" s="1187"/>
      <c r="AE483" s="1187"/>
      <c r="AF483" s="1187"/>
      <c r="AV483" s="1187"/>
      <c r="AW483" s="1187"/>
      <c r="AX483" s="1187"/>
      <c r="AY483" s="1187"/>
      <c r="AZ483" s="1187"/>
      <c r="BA483" s="1187"/>
      <c r="BC483" s="1187"/>
      <c r="BE483" s="1187"/>
      <c r="BF483" s="1187"/>
      <c r="BG483" s="1187"/>
    </row>
    <row r="484" spans="18:59" x14ac:dyDescent="0.3">
      <c r="R484" s="1187"/>
      <c r="S484" s="1187"/>
      <c r="W484" s="1187"/>
      <c r="X484" s="1187"/>
      <c r="AE484" s="1187"/>
      <c r="AF484" s="1187"/>
      <c r="AV484" s="1187"/>
      <c r="AW484" s="1187"/>
      <c r="AX484" s="1187"/>
      <c r="AY484" s="1187"/>
      <c r="AZ484" s="1187"/>
      <c r="BA484" s="1187"/>
      <c r="BC484" s="1187"/>
      <c r="BE484" s="1187"/>
      <c r="BF484" s="1187"/>
      <c r="BG484" s="1187"/>
    </row>
    <row r="485" spans="18:59" x14ac:dyDescent="0.3">
      <c r="R485" s="1187"/>
      <c r="S485" s="1187"/>
      <c r="W485" s="1187"/>
      <c r="X485" s="1187"/>
      <c r="AE485" s="1187"/>
      <c r="AF485" s="1187"/>
      <c r="AV485" s="1187"/>
      <c r="AW485" s="1187"/>
      <c r="AX485" s="1187"/>
      <c r="AY485" s="1187"/>
      <c r="AZ485" s="1187"/>
      <c r="BA485" s="1187"/>
      <c r="BC485" s="1187"/>
      <c r="BE485" s="1187"/>
      <c r="BF485" s="1187"/>
      <c r="BG485" s="1187"/>
    </row>
    <row r="486" spans="18:59" x14ac:dyDescent="0.3">
      <c r="R486" s="1187"/>
      <c r="S486" s="1187"/>
      <c r="W486" s="1187"/>
      <c r="X486" s="1187"/>
      <c r="AE486" s="1187"/>
      <c r="AF486" s="1187"/>
      <c r="AV486" s="1187"/>
      <c r="AW486" s="1187"/>
      <c r="AX486" s="1187"/>
      <c r="AY486" s="1187"/>
      <c r="AZ486" s="1187"/>
      <c r="BA486" s="1187"/>
      <c r="BC486" s="1187"/>
      <c r="BE486" s="1187"/>
      <c r="BF486" s="1187"/>
      <c r="BG486" s="1187"/>
    </row>
    <row r="487" spans="18:59" x14ac:dyDescent="0.3">
      <c r="R487" s="1187"/>
      <c r="S487" s="1187"/>
      <c r="W487" s="1187"/>
      <c r="X487" s="1187"/>
      <c r="AE487" s="1187"/>
      <c r="AF487" s="1187"/>
      <c r="AV487" s="1187"/>
      <c r="AW487" s="1187"/>
      <c r="AX487" s="1187"/>
      <c r="AY487" s="1187"/>
      <c r="AZ487" s="1187"/>
      <c r="BA487" s="1187"/>
      <c r="BC487" s="1187"/>
      <c r="BE487" s="1187"/>
      <c r="BF487" s="1187"/>
      <c r="BG487" s="1187"/>
    </row>
    <row r="488" spans="18:59" x14ac:dyDescent="0.3">
      <c r="R488" s="1187"/>
      <c r="S488" s="1187"/>
      <c r="W488" s="1187"/>
      <c r="X488" s="1187"/>
      <c r="AE488" s="1187"/>
      <c r="AF488" s="1187"/>
      <c r="AV488" s="1187"/>
      <c r="AW488" s="1187"/>
      <c r="AX488" s="1187"/>
      <c r="AY488" s="1187"/>
      <c r="AZ488" s="1187"/>
      <c r="BA488" s="1187"/>
      <c r="BC488" s="1187"/>
      <c r="BE488" s="1187"/>
      <c r="BF488" s="1187"/>
      <c r="BG488" s="1187"/>
    </row>
    <row r="489" spans="18:59" x14ac:dyDescent="0.3">
      <c r="R489" s="1187"/>
      <c r="S489" s="1187"/>
      <c r="W489" s="1187"/>
      <c r="X489" s="1187"/>
      <c r="AE489" s="1187"/>
      <c r="AF489" s="1187"/>
      <c r="AV489" s="1187"/>
      <c r="AW489" s="1187"/>
      <c r="AX489" s="1187"/>
      <c r="AY489" s="1187"/>
      <c r="AZ489" s="1187"/>
      <c r="BA489" s="1187"/>
      <c r="BC489" s="1187"/>
      <c r="BE489" s="1187"/>
      <c r="BF489" s="1187"/>
      <c r="BG489" s="1187"/>
    </row>
    <row r="490" spans="18:59" x14ac:dyDescent="0.3">
      <c r="R490" s="1187"/>
      <c r="S490" s="1187"/>
      <c r="W490" s="1187"/>
      <c r="X490" s="1187"/>
      <c r="AE490" s="1187"/>
      <c r="AF490" s="1187"/>
      <c r="AV490" s="1187"/>
      <c r="AW490" s="1187"/>
      <c r="AX490" s="1187"/>
      <c r="AY490" s="1187"/>
      <c r="AZ490" s="1187"/>
      <c r="BA490" s="1187"/>
      <c r="BC490" s="1187"/>
      <c r="BE490" s="1187"/>
      <c r="BF490" s="1187"/>
      <c r="BG490" s="1187"/>
    </row>
    <row r="491" spans="18:59" x14ac:dyDescent="0.3">
      <c r="R491" s="1187"/>
      <c r="S491" s="1187"/>
      <c r="W491" s="1187"/>
      <c r="X491" s="1187"/>
      <c r="AE491" s="1187"/>
      <c r="AF491" s="1187"/>
      <c r="AV491" s="1187"/>
      <c r="AW491" s="1187"/>
      <c r="AX491" s="1187"/>
      <c r="AY491" s="1187"/>
      <c r="AZ491" s="1187"/>
      <c r="BA491" s="1187"/>
      <c r="BC491" s="1187"/>
      <c r="BE491" s="1187"/>
      <c r="BF491" s="1187"/>
      <c r="BG491" s="1187"/>
    </row>
    <row r="492" spans="18:59" x14ac:dyDescent="0.3">
      <c r="R492" s="1187"/>
      <c r="S492" s="1187"/>
      <c r="W492" s="1187"/>
      <c r="X492" s="1187"/>
      <c r="AE492" s="1187"/>
      <c r="AF492" s="1187"/>
      <c r="AV492" s="1187"/>
      <c r="AW492" s="1187"/>
      <c r="AX492" s="1187"/>
      <c r="AY492" s="1187"/>
      <c r="AZ492" s="1187"/>
      <c r="BA492" s="1187"/>
      <c r="BC492" s="1187"/>
      <c r="BE492" s="1187"/>
      <c r="BF492" s="1187"/>
      <c r="BG492" s="1187"/>
    </row>
    <row r="493" spans="18:59" x14ac:dyDescent="0.3">
      <c r="R493" s="1187"/>
      <c r="S493" s="1187"/>
      <c r="W493" s="1187"/>
      <c r="X493" s="1187"/>
      <c r="AE493" s="1187"/>
      <c r="AF493" s="1187"/>
      <c r="AV493" s="1187"/>
      <c r="AW493" s="1187"/>
      <c r="AX493" s="1187"/>
      <c r="AY493" s="1187"/>
      <c r="AZ493" s="1187"/>
      <c r="BA493" s="1187"/>
      <c r="BC493" s="1187"/>
      <c r="BE493" s="1187"/>
      <c r="BF493" s="1187"/>
      <c r="BG493" s="1187"/>
    </row>
    <row r="494" spans="18:59" x14ac:dyDescent="0.3">
      <c r="R494" s="1187"/>
      <c r="S494" s="1187"/>
      <c r="W494" s="1187"/>
      <c r="X494" s="1187"/>
      <c r="AE494" s="1187"/>
      <c r="AF494" s="1187"/>
      <c r="AV494" s="1187"/>
      <c r="AW494" s="1187"/>
      <c r="AX494" s="1187"/>
      <c r="AY494" s="1187"/>
      <c r="AZ494" s="1187"/>
      <c r="BA494" s="1187"/>
      <c r="BC494" s="1187"/>
      <c r="BE494" s="1187"/>
      <c r="BF494" s="1187"/>
      <c r="BG494" s="1187"/>
    </row>
    <row r="495" spans="18:59" x14ac:dyDescent="0.3">
      <c r="R495" s="1187"/>
      <c r="S495" s="1187"/>
      <c r="W495" s="1187"/>
      <c r="X495" s="1187"/>
      <c r="AE495" s="1187"/>
      <c r="AF495" s="1187"/>
      <c r="AV495" s="1187"/>
      <c r="AW495" s="1187"/>
      <c r="AX495" s="1187"/>
      <c r="AY495" s="1187"/>
      <c r="AZ495" s="1187"/>
      <c r="BA495" s="1187"/>
      <c r="BC495" s="1187"/>
      <c r="BE495" s="1187"/>
      <c r="BF495" s="1187"/>
      <c r="BG495" s="1187"/>
    </row>
    <row r="496" spans="18:59" x14ac:dyDescent="0.3">
      <c r="R496" s="1187"/>
      <c r="S496" s="1187"/>
      <c r="W496" s="1187"/>
      <c r="X496" s="1187"/>
      <c r="AE496" s="1187"/>
      <c r="AF496" s="1187"/>
      <c r="AV496" s="1187"/>
      <c r="AW496" s="1187"/>
      <c r="AX496" s="1187"/>
      <c r="AY496" s="1187"/>
      <c r="AZ496" s="1187"/>
      <c r="BA496" s="1187"/>
      <c r="BC496" s="1187"/>
      <c r="BE496" s="1187"/>
      <c r="BF496" s="1187"/>
      <c r="BG496" s="1187"/>
    </row>
    <row r="497" spans="18:59" x14ac:dyDescent="0.3">
      <c r="R497" s="1187"/>
      <c r="S497" s="1187"/>
      <c r="W497" s="1187"/>
      <c r="X497" s="1187"/>
      <c r="AE497" s="1187"/>
      <c r="AF497" s="1187"/>
      <c r="AV497" s="1187"/>
      <c r="AW497" s="1187"/>
      <c r="AX497" s="1187"/>
      <c r="AY497" s="1187"/>
      <c r="AZ497" s="1187"/>
      <c r="BA497" s="1187"/>
      <c r="BC497" s="1187"/>
      <c r="BE497" s="1187"/>
      <c r="BF497" s="1187"/>
      <c r="BG497" s="1187"/>
    </row>
    <row r="498" spans="18:59" x14ac:dyDescent="0.3">
      <c r="R498" s="1187"/>
      <c r="S498" s="1187"/>
      <c r="W498" s="1187"/>
      <c r="X498" s="1187"/>
      <c r="AE498" s="1187"/>
      <c r="AF498" s="1187"/>
      <c r="AV498" s="1187"/>
      <c r="AW498" s="1187"/>
      <c r="AX498" s="1187"/>
      <c r="AY498" s="1187"/>
      <c r="AZ498" s="1187"/>
      <c r="BA498" s="1187"/>
      <c r="BC498" s="1187"/>
      <c r="BE498" s="1187"/>
      <c r="BF498" s="1187"/>
      <c r="BG498" s="1187"/>
    </row>
    <row r="499" spans="18:59" x14ac:dyDescent="0.3">
      <c r="R499" s="1187"/>
      <c r="S499" s="1187"/>
      <c r="W499" s="1187"/>
      <c r="X499" s="1187"/>
      <c r="AE499" s="1187"/>
      <c r="AF499" s="1187"/>
      <c r="AV499" s="1187"/>
      <c r="AW499" s="1187"/>
      <c r="AX499" s="1187"/>
      <c r="AY499" s="1187"/>
      <c r="AZ499" s="1187"/>
      <c r="BA499" s="1187"/>
      <c r="BC499" s="1187"/>
      <c r="BE499" s="1187"/>
      <c r="BF499" s="1187"/>
      <c r="BG499" s="1187"/>
    </row>
    <row r="500" spans="18:59" x14ac:dyDescent="0.3">
      <c r="R500" s="1187"/>
      <c r="S500" s="1187"/>
      <c r="W500" s="1187"/>
      <c r="X500" s="1187"/>
      <c r="AE500" s="1187"/>
      <c r="AF500" s="1187"/>
      <c r="AV500" s="1187"/>
      <c r="AW500" s="1187"/>
      <c r="AX500" s="1187"/>
      <c r="AY500" s="1187"/>
      <c r="AZ500" s="1187"/>
      <c r="BA500" s="1187"/>
      <c r="BC500" s="1187"/>
      <c r="BE500" s="1187"/>
      <c r="BF500" s="1187"/>
      <c r="BG500" s="1187"/>
    </row>
    <row r="501" spans="18:59" x14ac:dyDescent="0.3">
      <c r="R501" s="1187"/>
      <c r="S501" s="1187"/>
      <c r="W501" s="1187"/>
      <c r="X501" s="1187"/>
      <c r="AE501" s="1187"/>
      <c r="AF501" s="1187"/>
      <c r="AV501" s="1187"/>
      <c r="AW501" s="1187"/>
      <c r="AX501" s="1187"/>
      <c r="AY501" s="1187"/>
      <c r="AZ501" s="1187"/>
      <c r="BA501" s="1187"/>
      <c r="BC501" s="1187"/>
      <c r="BE501" s="1187"/>
      <c r="BF501" s="1187"/>
      <c r="BG501" s="1187"/>
    </row>
    <row r="502" spans="18:59" x14ac:dyDescent="0.3">
      <c r="R502" s="1187"/>
      <c r="S502" s="1187"/>
      <c r="W502" s="1187"/>
      <c r="X502" s="1187"/>
      <c r="AE502" s="1187"/>
      <c r="AF502" s="1187"/>
      <c r="AV502" s="1187"/>
      <c r="AW502" s="1187"/>
      <c r="AX502" s="1187"/>
      <c r="AY502" s="1187"/>
      <c r="AZ502" s="1187"/>
      <c r="BA502" s="1187"/>
      <c r="BC502" s="1187"/>
      <c r="BE502" s="1187"/>
      <c r="BF502" s="1187"/>
      <c r="BG502" s="118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0.77734375" defaultRowHeight="14.4" x14ac:dyDescent="0.3"/>
  <cols>
    <col min="1" max="1" width="23.21875" customWidth="1"/>
  </cols>
  <sheetData>
    <row r="1" spans="1:22" x14ac:dyDescent="0.3">
      <c r="A1" s="1192" t="s">
        <v>779</v>
      </c>
      <c r="B1" s="1192"/>
      <c r="C1" s="1192"/>
      <c r="D1" s="1192"/>
    </row>
    <row r="2" spans="1:22" x14ac:dyDescent="0.3">
      <c r="A2" t="s">
        <v>780</v>
      </c>
      <c r="B2" s="94">
        <v>2021</v>
      </c>
      <c r="C2" s="94">
        <v>2021</v>
      </c>
      <c r="D2" s="94">
        <v>2021</v>
      </c>
      <c r="E2" s="94">
        <v>2022</v>
      </c>
      <c r="F2" s="94">
        <v>2022</v>
      </c>
      <c r="G2" s="94">
        <v>2022</v>
      </c>
      <c r="H2" s="94">
        <v>2022</v>
      </c>
      <c r="I2" s="94">
        <v>2023</v>
      </c>
      <c r="J2" s="94">
        <v>2023</v>
      </c>
      <c r="K2" s="94">
        <v>2023</v>
      </c>
      <c r="L2" s="94">
        <v>2023</v>
      </c>
      <c r="M2" s="94">
        <v>2024</v>
      </c>
      <c r="N2" s="94">
        <v>2024</v>
      </c>
      <c r="O2" s="94">
        <v>2024</v>
      </c>
      <c r="P2" s="94">
        <v>2024</v>
      </c>
      <c r="Q2" s="94">
        <v>2025</v>
      </c>
      <c r="R2" s="94">
        <v>2025</v>
      </c>
      <c r="S2" s="94">
        <v>2025</v>
      </c>
      <c r="T2" s="94">
        <v>2025</v>
      </c>
      <c r="U2" s="94">
        <v>2026</v>
      </c>
    </row>
    <row r="3" spans="1:22" x14ac:dyDescent="0.3">
      <c r="A3" s="979" t="s">
        <v>781</v>
      </c>
      <c r="B3" s="983" t="s">
        <v>782</v>
      </c>
      <c r="C3" s="983" t="s">
        <v>783</v>
      </c>
      <c r="D3" s="983" t="s">
        <v>784</v>
      </c>
      <c r="E3" s="983" t="s">
        <v>785</v>
      </c>
      <c r="F3" s="983" t="s">
        <v>786</v>
      </c>
      <c r="G3" s="983" t="s">
        <v>787</v>
      </c>
      <c r="H3" s="983" t="s">
        <v>788</v>
      </c>
      <c r="I3" s="983" t="s">
        <v>789</v>
      </c>
      <c r="J3" s="983" t="s">
        <v>790</v>
      </c>
      <c r="K3" s="983" t="s">
        <v>791</v>
      </c>
      <c r="L3" s="983" t="s">
        <v>792</v>
      </c>
      <c r="M3" s="983" t="s">
        <v>793</v>
      </c>
      <c r="N3" s="983" t="s">
        <v>794</v>
      </c>
      <c r="O3" s="983" t="s">
        <v>795</v>
      </c>
      <c r="P3" s="983" t="s">
        <v>796</v>
      </c>
      <c r="Q3" s="983" t="s">
        <v>797</v>
      </c>
      <c r="R3" s="983" t="s">
        <v>798</v>
      </c>
      <c r="S3" s="983" t="s">
        <v>799</v>
      </c>
      <c r="T3" s="983" t="s">
        <v>800</v>
      </c>
      <c r="U3" s="983" t="s">
        <v>801</v>
      </c>
    </row>
    <row r="4" spans="1:22" x14ac:dyDescent="0.3">
      <c r="A4" s="979" t="s">
        <v>802</v>
      </c>
      <c r="B4" s="983"/>
      <c r="C4" s="983"/>
      <c r="D4" s="983">
        <v>0</v>
      </c>
      <c r="E4" s="983">
        <v>0</v>
      </c>
      <c r="F4" s="983">
        <v>0.5</v>
      </c>
      <c r="G4" s="983">
        <v>0.5</v>
      </c>
      <c r="H4" s="983">
        <v>0</v>
      </c>
      <c r="I4" s="983">
        <v>0</v>
      </c>
      <c r="J4" s="983">
        <v>0</v>
      </c>
      <c r="K4" s="983">
        <v>0</v>
      </c>
      <c r="L4" s="983">
        <v>0</v>
      </c>
      <c r="M4" s="983">
        <v>0</v>
      </c>
      <c r="N4" s="983">
        <v>0</v>
      </c>
      <c r="O4" s="983">
        <v>0</v>
      </c>
      <c r="P4" s="983">
        <v>0</v>
      </c>
      <c r="Q4" s="983">
        <v>0</v>
      </c>
      <c r="R4" s="983">
        <v>0</v>
      </c>
      <c r="S4" s="983">
        <v>0</v>
      </c>
      <c r="T4" s="983">
        <v>0</v>
      </c>
      <c r="U4" s="983">
        <v>0</v>
      </c>
    </row>
    <row r="5" spans="1:22" x14ac:dyDescent="0.3">
      <c r="A5" s="979" t="s">
        <v>803</v>
      </c>
      <c r="B5" s="983">
        <v>0.04</v>
      </c>
      <c r="C5" s="983">
        <v>0.48</v>
      </c>
      <c r="D5" s="983">
        <v>0.48</v>
      </c>
      <c r="E5" s="983">
        <v>0</v>
      </c>
      <c r="F5" s="983">
        <v>0</v>
      </c>
      <c r="G5" s="983">
        <v>0</v>
      </c>
      <c r="H5" s="983">
        <v>0</v>
      </c>
      <c r="I5" s="983">
        <v>0</v>
      </c>
      <c r="J5" s="983">
        <v>0</v>
      </c>
      <c r="K5" s="983">
        <v>0</v>
      </c>
      <c r="L5" s="983">
        <v>0</v>
      </c>
      <c r="M5" s="983">
        <v>0</v>
      </c>
      <c r="N5" s="983">
        <v>0</v>
      </c>
      <c r="O5" s="983">
        <v>0</v>
      </c>
      <c r="P5" s="983">
        <v>0</v>
      </c>
      <c r="Q5" s="983">
        <v>0</v>
      </c>
      <c r="R5" s="983">
        <v>0</v>
      </c>
      <c r="S5" s="983">
        <v>0</v>
      </c>
      <c r="T5" s="983">
        <v>0</v>
      </c>
      <c r="U5" s="983">
        <v>0</v>
      </c>
    </row>
    <row r="6" spans="1:22" x14ac:dyDescent="0.3">
      <c r="A6" s="979" t="s">
        <v>804</v>
      </c>
      <c r="B6" s="983">
        <f>B8</f>
        <v>0</v>
      </c>
      <c r="C6" s="983">
        <f>C8</f>
        <v>0.43</v>
      </c>
      <c r="D6" s="983">
        <f t="shared" ref="D6:U6" si="0">D8</f>
        <v>0.56999999999999995</v>
      </c>
      <c r="E6" s="983">
        <f t="shared" si="0"/>
        <v>0.25</v>
      </c>
      <c r="F6" s="983">
        <f t="shared" si="0"/>
        <v>0.25</v>
      </c>
      <c r="G6" s="983">
        <f t="shared" si="0"/>
        <v>0.25</v>
      </c>
      <c r="H6" s="983">
        <f t="shared" si="0"/>
        <v>0.25</v>
      </c>
      <c r="I6" s="983">
        <f t="shared" si="0"/>
        <v>0.25</v>
      </c>
      <c r="J6" s="983">
        <f t="shared" si="0"/>
        <v>0.25</v>
      </c>
      <c r="K6" s="983">
        <f t="shared" si="0"/>
        <v>0.25</v>
      </c>
      <c r="L6" s="983">
        <f t="shared" si="0"/>
        <v>0.25</v>
      </c>
      <c r="M6" s="983">
        <f t="shared" si="0"/>
        <v>0.25</v>
      </c>
      <c r="N6" s="983">
        <f t="shared" si="0"/>
        <v>0.25</v>
      </c>
      <c r="O6" s="983">
        <f t="shared" si="0"/>
        <v>0.25</v>
      </c>
      <c r="P6" s="983">
        <f t="shared" si="0"/>
        <v>0.25</v>
      </c>
      <c r="Q6" s="983">
        <f t="shared" si="0"/>
        <v>0.25</v>
      </c>
      <c r="R6" s="983">
        <f t="shared" si="0"/>
        <v>0.25</v>
      </c>
      <c r="S6" s="983">
        <f t="shared" si="0"/>
        <v>0.25</v>
      </c>
      <c r="T6" s="983">
        <f t="shared" si="0"/>
        <v>0.25</v>
      </c>
      <c r="U6" s="983">
        <f t="shared" si="0"/>
        <v>0.25</v>
      </c>
    </row>
    <row r="7" spans="1:22" x14ac:dyDescent="0.3">
      <c r="A7" s="979" t="s">
        <v>805</v>
      </c>
      <c r="B7" s="983">
        <v>0</v>
      </c>
      <c r="C7" s="983">
        <v>0</v>
      </c>
      <c r="D7" s="983">
        <v>1</v>
      </c>
      <c r="E7" s="983">
        <v>0.25</v>
      </c>
      <c r="F7" s="983">
        <v>0.25</v>
      </c>
      <c r="G7" s="983">
        <v>0.25</v>
      </c>
      <c r="H7" s="983">
        <v>0.25</v>
      </c>
      <c r="I7" s="983">
        <v>0.25</v>
      </c>
      <c r="J7" s="983">
        <v>0.25</v>
      </c>
      <c r="K7" s="983">
        <v>0.25</v>
      </c>
      <c r="L7" s="983">
        <v>0.25</v>
      </c>
      <c r="M7" s="983">
        <v>0.25</v>
      </c>
      <c r="N7" s="983">
        <v>0.25</v>
      </c>
      <c r="O7" s="983">
        <v>0.25</v>
      </c>
      <c r="P7" s="983">
        <v>0.25</v>
      </c>
      <c r="Q7" s="983">
        <v>0.25</v>
      </c>
      <c r="R7" s="983">
        <v>0.25</v>
      </c>
      <c r="S7" s="983">
        <v>0.25</v>
      </c>
      <c r="T7" s="983">
        <v>0.25</v>
      </c>
      <c r="U7" s="983">
        <v>0.25</v>
      </c>
    </row>
    <row r="8" spans="1:22" x14ac:dyDescent="0.3">
      <c r="A8" s="979" t="s">
        <v>806</v>
      </c>
      <c r="B8" s="983">
        <v>0</v>
      </c>
      <c r="C8" s="983">
        <v>0.43</v>
      </c>
      <c r="D8" s="983">
        <v>0.56999999999999995</v>
      </c>
      <c r="E8" s="983">
        <v>0.25</v>
      </c>
      <c r="F8" s="983">
        <v>0.25</v>
      </c>
      <c r="G8" s="983">
        <v>0.25</v>
      </c>
      <c r="H8" s="983">
        <v>0.25</v>
      </c>
      <c r="I8" s="983">
        <v>0.25</v>
      </c>
      <c r="J8" s="983">
        <v>0.25</v>
      </c>
      <c r="K8" s="983">
        <v>0.25</v>
      </c>
      <c r="L8" s="983">
        <v>0.25</v>
      </c>
      <c r="M8" s="983">
        <v>0.25</v>
      </c>
      <c r="N8" s="983">
        <v>0.25</v>
      </c>
      <c r="O8" s="983">
        <v>0.25</v>
      </c>
      <c r="P8" s="983">
        <v>0.25</v>
      </c>
      <c r="Q8" s="983">
        <v>0.25</v>
      </c>
      <c r="R8" s="983">
        <v>0.25</v>
      </c>
      <c r="S8" s="983">
        <v>0.25</v>
      </c>
      <c r="T8" s="983">
        <v>0.25</v>
      </c>
      <c r="U8" s="983">
        <v>0.25</v>
      </c>
    </row>
    <row r="9" spans="1:22" ht="27" customHeight="1" x14ac:dyDescent="0.3">
      <c r="A9" s="979" t="s">
        <v>807</v>
      </c>
      <c r="B9" s="983">
        <v>0</v>
      </c>
      <c r="C9" s="983">
        <f>0.18</f>
        <v>0.18</v>
      </c>
      <c r="D9" s="983">
        <f>1-C9</f>
        <v>0.82000000000000006</v>
      </c>
      <c r="E9" s="983">
        <v>0.25</v>
      </c>
      <c r="F9" s="983">
        <v>0.25</v>
      </c>
      <c r="G9" s="983">
        <v>0.25</v>
      </c>
      <c r="H9" s="983">
        <v>0.25</v>
      </c>
      <c r="I9" s="983">
        <v>0.25</v>
      </c>
      <c r="J9" s="983">
        <v>0.25</v>
      </c>
      <c r="K9" s="983">
        <v>0.25</v>
      </c>
      <c r="L9" s="983">
        <v>0.25</v>
      </c>
      <c r="M9" s="983">
        <v>0.25</v>
      </c>
      <c r="N9" s="983">
        <v>0.25</v>
      </c>
      <c r="O9" s="983">
        <v>0.25</v>
      </c>
      <c r="P9" s="983">
        <v>0.25</v>
      </c>
      <c r="Q9" s="983">
        <v>0.25</v>
      </c>
      <c r="R9" s="983">
        <v>0.25</v>
      </c>
      <c r="S9" s="983">
        <v>0.25</v>
      </c>
      <c r="T9" s="983">
        <v>0.25</v>
      </c>
      <c r="U9" s="983">
        <v>0.25</v>
      </c>
    </row>
    <row r="10" spans="1:22" x14ac:dyDescent="0.3">
      <c r="A10" s="979" t="s">
        <v>808</v>
      </c>
      <c r="B10" s="983">
        <v>0</v>
      </c>
      <c r="C10" s="983">
        <v>0.5</v>
      </c>
      <c r="D10" s="983">
        <v>0.5</v>
      </c>
      <c r="E10" s="983">
        <v>0.25</v>
      </c>
      <c r="F10" s="983">
        <v>0.25</v>
      </c>
      <c r="G10" s="983">
        <v>0.25</v>
      </c>
      <c r="H10" s="983">
        <v>0.25</v>
      </c>
      <c r="I10" s="983">
        <v>0.25</v>
      </c>
      <c r="J10" s="983">
        <v>0.25</v>
      </c>
      <c r="K10" s="983">
        <v>0.25</v>
      </c>
      <c r="L10" s="983">
        <v>0.25</v>
      </c>
      <c r="M10" s="983">
        <v>0.25</v>
      </c>
      <c r="N10" s="983">
        <v>0.25</v>
      </c>
      <c r="O10" s="983">
        <v>0.25</v>
      </c>
      <c r="P10" s="983">
        <v>0.25</v>
      </c>
      <c r="Q10" s="983">
        <v>0.25</v>
      </c>
      <c r="R10" s="983">
        <v>0.25</v>
      </c>
      <c r="S10" s="983">
        <v>0.25</v>
      </c>
      <c r="T10" s="983">
        <v>0.25</v>
      </c>
      <c r="U10" s="983">
        <v>0.25</v>
      </c>
    </row>
    <row r="11" spans="1:22" x14ac:dyDescent="0.3">
      <c r="A11" s="979" t="s">
        <v>809</v>
      </c>
      <c r="B11" s="983">
        <v>0</v>
      </c>
      <c r="C11" s="983">
        <v>0.5</v>
      </c>
      <c r="D11" s="983">
        <v>0.5</v>
      </c>
      <c r="E11" s="983">
        <v>0.25</v>
      </c>
      <c r="F11" s="983">
        <v>0.25</v>
      </c>
      <c r="G11" s="983">
        <v>0.25</v>
      </c>
      <c r="H11" s="983">
        <v>0.25</v>
      </c>
      <c r="I11" s="983">
        <v>0.25</v>
      </c>
      <c r="J11" s="983">
        <v>0.25</v>
      </c>
      <c r="K11" s="983">
        <v>0.25</v>
      </c>
      <c r="L11" s="983">
        <v>0.25</v>
      </c>
      <c r="M11" s="983">
        <v>0.25</v>
      </c>
      <c r="N11" s="983">
        <v>0.25</v>
      </c>
      <c r="O11" s="983">
        <v>0.25</v>
      </c>
      <c r="P11" s="983">
        <v>0.25</v>
      </c>
      <c r="Q11" s="983">
        <v>0.25</v>
      </c>
      <c r="R11" s="983">
        <v>0.25</v>
      </c>
      <c r="S11" s="983">
        <v>0.25</v>
      </c>
      <c r="T11" s="983">
        <v>0.25</v>
      </c>
      <c r="U11" s="983">
        <v>0.25</v>
      </c>
    </row>
    <row r="12" spans="1:22" ht="14.25" customHeight="1" x14ac:dyDescent="0.3">
      <c r="A12" s="979" t="s">
        <v>810</v>
      </c>
      <c r="B12" s="983">
        <v>1</v>
      </c>
      <c r="C12" s="983"/>
      <c r="D12" s="983"/>
      <c r="E12" s="983"/>
      <c r="F12" s="983"/>
      <c r="G12" s="983"/>
      <c r="H12" s="983"/>
      <c r="I12" s="983"/>
      <c r="J12" s="983"/>
      <c r="K12" s="983"/>
      <c r="L12" s="983"/>
      <c r="M12" s="983"/>
      <c r="N12" s="983"/>
      <c r="O12" s="983"/>
      <c r="P12" s="983"/>
      <c r="Q12" s="983"/>
      <c r="R12" s="983"/>
      <c r="S12" s="983"/>
      <c r="T12" s="983"/>
      <c r="U12" s="983"/>
    </row>
    <row r="13" spans="1:22" x14ac:dyDescent="0.3">
      <c r="A13" s="979" t="s">
        <v>811</v>
      </c>
      <c r="B13" s="983">
        <v>0</v>
      </c>
      <c r="C13" s="983">
        <v>0.4</v>
      </c>
      <c r="D13" s="983">
        <v>0.6</v>
      </c>
      <c r="E13" s="983">
        <v>0.4</v>
      </c>
      <c r="F13" s="983">
        <v>0.3</v>
      </c>
      <c r="G13" s="983">
        <v>0.2</v>
      </c>
      <c r="H13" s="983">
        <v>0.1</v>
      </c>
      <c r="I13" s="983">
        <v>0.25</v>
      </c>
      <c r="J13" s="983">
        <v>0.25</v>
      </c>
      <c r="K13" s="983">
        <v>0.25</v>
      </c>
      <c r="L13" s="983">
        <v>0.25</v>
      </c>
      <c r="M13" s="983">
        <v>0.25</v>
      </c>
      <c r="N13" s="983">
        <v>0.25</v>
      </c>
      <c r="O13" s="983">
        <v>0.25</v>
      </c>
      <c r="P13" s="983">
        <v>0.25</v>
      </c>
      <c r="Q13" s="983">
        <v>0.25</v>
      </c>
      <c r="R13" s="983">
        <v>0.25</v>
      </c>
      <c r="S13" s="983">
        <v>0.25</v>
      </c>
      <c r="T13" s="983">
        <v>0.25</v>
      </c>
      <c r="U13" s="983">
        <v>0.25</v>
      </c>
    </row>
    <row r="14" spans="1:22" x14ac:dyDescent="0.3">
      <c r="A14" s="979"/>
      <c r="B14" s="983"/>
      <c r="C14" s="983"/>
      <c r="D14" s="983"/>
      <c r="E14" s="983"/>
      <c r="F14" s="983"/>
      <c r="G14" s="983"/>
      <c r="H14" s="983"/>
      <c r="I14" s="983"/>
      <c r="J14" s="983"/>
      <c r="K14" s="983"/>
      <c r="L14" s="983"/>
      <c r="M14" s="983"/>
      <c r="N14" s="983"/>
      <c r="O14" s="983"/>
      <c r="P14" s="983"/>
      <c r="Q14" s="983"/>
      <c r="R14" s="983"/>
      <c r="S14" s="983"/>
      <c r="T14" s="983"/>
      <c r="U14" s="983"/>
    </row>
    <row r="15" spans="1:22" ht="27" customHeight="1" x14ac:dyDescent="0.3">
      <c r="A15" s="1191" t="s">
        <v>812</v>
      </c>
      <c r="B15" s="983">
        <v>1</v>
      </c>
      <c r="C15" s="983">
        <v>2</v>
      </c>
      <c r="D15" s="983">
        <v>3</v>
      </c>
      <c r="E15" s="983">
        <v>4</v>
      </c>
      <c r="F15" s="983">
        <v>5</v>
      </c>
      <c r="G15" s="983">
        <v>6</v>
      </c>
      <c r="H15" s="983">
        <v>7</v>
      </c>
      <c r="I15" s="983">
        <v>8</v>
      </c>
      <c r="J15" s="983">
        <v>9</v>
      </c>
      <c r="K15" s="983">
        <v>10</v>
      </c>
      <c r="L15" s="983">
        <v>11</v>
      </c>
      <c r="M15" s="983">
        <v>12</v>
      </c>
      <c r="N15" s="983">
        <v>13</v>
      </c>
      <c r="O15" s="983">
        <v>14</v>
      </c>
      <c r="P15" s="983">
        <v>15</v>
      </c>
      <c r="Q15" s="983">
        <v>16</v>
      </c>
      <c r="R15" s="983">
        <v>17</v>
      </c>
      <c r="S15" s="983">
        <v>18</v>
      </c>
      <c r="T15" s="983">
        <v>19</v>
      </c>
      <c r="U15" s="983">
        <v>20</v>
      </c>
    </row>
    <row r="16" spans="1:22" x14ac:dyDescent="0.3">
      <c r="A16" s="979" t="s">
        <v>813</v>
      </c>
      <c r="B16" s="983">
        <v>7.0000000000000007E-2</v>
      </c>
      <c r="C16" s="983">
        <v>7.0000000000000007E-2</v>
      </c>
      <c r="D16" s="983">
        <v>4.9000000000000002E-2</v>
      </c>
      <c r="E16" s="983">
        <v>4.9000000000000002E-2</v>
      </c>
      <c r="F16" s="983">
        <v>4.9000000000000002E-2</v>
      </c>
      <c r="G16" s="983">
        <v>4.9000000000000002E-2</v>
      </c>
      <c r="H16" s="983">
        <v>4.9000000000000002E-2</v>
      </c>
      <c r="I16" s="983">
        <v>4.9000000000000002E-2</v>
      </c>
      <c r="J16" s="983">
        <v>4.9000000000000002E-2</v>
      </c>
      <c r="K16" s="983">
        <v>4.9000000000000002E-2</v>
      </c>
      <c r="L16" s="983">
        <v>4.9000000000000002E-2</v>
      </c>
      <c r="M16" s="983">
        <v>4.9000000000000002E-2</v>
      </c>
      <c r="N16" s="983">
        <f t="shared" ref="N16:T16" si="1">0.0475</f>
        <v>4.7500000000000001E-2</v>
      </c>
      <c r="O16" s="983">
        <f t="shared" si="1"/>
        <v>4.7500000000000001E-2</v>
      </c>
      <c r="P16" s="983">
        <f t="shared" si="1"/>
        <v>4.7500000000000001E-2</v>
      </c>
      <c r="Q16" s="983">
        <f t="shared" si="1"/>
        <v>4.7500000000000001E-2</v>
      </c>
      <c r="R16" s="983">
        <f t="shared" si="1"/>
        <v>4.7500000000000001E-2</v>
      </c>
      <c r="S16" s="983">
        <f t="shared" si="1"/>
        <v>4.7500000000000001E-2</v>
      </c>
      <c r="T16" s="983">
        <f t="shared" si="1"/>
        <v>4.7500000000000001E-2</v>
      </c>
      <c r="U16" s="983">
        <f>0.0375</f>
        <v>3.7499999999999999E-2</v>
      </c>
      <c r="V16" s="983">
        <f>SUM(B16:U16)</f>
        <v>0.99999999999999989</v>
      </c>
    </row>
    <row r="17" spans="1:23" ht="27" customHeight="1" x14ac:dyDescent="0.3">
      <c r="A17" s="979"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83">
        <f>SUM(B17:U17)</f>
        <v>0.94000000000000006</v>
      </c>
      <c r="W17" t="s">
        <v>815</v>
      </c>
    </row>
    <row r="19" spans="1:23" x14ac:dyDescent="0.3">
      <c r="B19" s="1190" t="e">
        <f>'Federal and State Purchases'!#REF!</f>
        <v>#REF!</v>
      </c>
      <c r="C19" s="119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0.77734375" defaultRowHeight="14.4" x14ac:dyDescent="0.3"/>
  <cols>
    <col min="1" max="1" width="15.44140625" customWidth="1"/>
    <col min="2" max="2" width="32.44140625" customWidth="1"/>
  </cols>
  <sheetData>
    <row r="1" spans="1:23" x14ac:dyDescent="0.3">
      <c r="A1" s="1150" t="s">
        <v>816</v>
      </c>
      <c r="B1" s="1150" t="s">
        <v>726</v>
      </c>
      <c r="C1" s="1193">
        <v>2021</v>
      </c>
      <c r="D1" s="1193">
        <f>C1</f>
        <v>2021</v>
      </c>
      <c r="E1" s="1193">
        <f>D1</f>
        <v>2021</v>
      </c>
      <c r="F1" s="1193">
        <v>2022</v>
      </c>
      <c r="G1" s="1193">
        <v>2022</v>
      </c>
      <c r="H1" s="1193">
        <v>2022</v>
      </c>
      <c r="I1" s="1193">
        <v>2022</v>
      </c>
      <c r="J1" s="1193">
        <v>2023</v>
      </c>
      <c r="K1" s="1193">
        <v>2023</v>
      </c>
      <c r="L1" s="1193">
        <v>2023</v>
      </c>
      <c r="M1" s="1193">
        <v>2023</v>
      </c>
      <c r="N1" s="1193">
        <v>2024</v>
      </c>
      <c r="O1" s="1193">
        <v>2024</v>
      </c>
      <c r="P1" s="1193">
        <v>2024</v>
      </c>
      <c r="Q1" s="1193">
        <v>2024</v>
      </c>
      <c r="R1" s="1193">
        <v>2025</v>
      </c>
      <c r="S1" s="1193">
        <v>2025</v>
      </c>
      <c r="T1" s="1193">
        <v>2025</v>
      </c>
      <c r="U1" s="1193">
        <v>2025</v>
      </c>
      <c r="V1" s="1193">
        <v>2026</v>
      </c>
    </row>
    <row r="2" spans="1:23" x14ac:dyDescent="0.3">
      <c r="B2" s="1150" t="s">
        <v>817</v>
      </c>
      <c r="C2" s="94" t="s">
        <v>295</v>
      </c>
      <c r="D2" s="94" t="s">
        <v>296</v>
      </c>
      <c r="E2" s="94" t="s">
        <v>180</v>
      </c>
      <c r="F2" s="94" t="s">
        <v>181</v>
      </c>
      <c r="G2" s="94" t="s">
        <v>182</v>
      </c>
      <c r="H2" s="94" t="s">
        <v>183</v>
      </c>
      <c r="I2" s="94" t="s">
        <v>184</v>
      </c>
      <c r="J2" s="94" t="s">
        <v>185</v>
      </c>
      <c r="K2" s="94" t="s">
        <v>186</v>
      </c>
      <c r="L2" s="94" t="s">
        <v>187</v>
      </c>
      <c r="M2" s="94" t="s">
        <v>188</v>
      </c>
      <c r="N2" s="94" t="s">
        <v>189</v>
      </c>
      <c r="O2" s="94" t="s">
        <v>190</v>
      </c>
      <c r="P2" s="94" t="s">
        <v>191</v>
      </c>
      <c r="Q2" s="94" t="s">
        <v>175</v>
      </c>
      <c r="R2" s="94" t="s">
        <v>176</v>
      </c>
      <c r="S2" s="94" t="s">
        <v>177</v>
      </c>
      <c r="T2" s="94" t="s">
        <v>818</v>
      </c>
      <c r="U2" s="94" t="s">
        <v>819</v>
      </c>
      <c r="V2" s="94" t="s">
        <v>820</v>
      </c>
    </row>
    <row r="3" spans="1:23" x14ac:dyDescent="0.3">
      <c r="A3" s="1150">
        <v>3</v>
      </c>
      <c r="B3" s="1150" t="s">
        <v>581</v>
      </c>
      <c r="C3" s="1194">
        <f>4*'ARP Timing'!B6*VLOOKUP(C$1,'ARP Score'!$A$5:$M14,$A3)</f>
        <v>0</v>
      </c>
      <c r="D3" s="1194">
        <f>4*'ARP Timing'!C6*VLOOKUP(D$1,'ARP Score'!$A$5:$M14,$A3)</f>
        <v>336.60399999999998</v>
      </c>
      <c r="E3" s="1194">
        <f>4*'ARP Timing'!D6*VLOOKUP(E$1,'ARP Score'!$A$5:$M14,$A3)</f>
        <v>446.19599999999991</v>
      </c>
      <c r="F3" s="1194">
        <f>4*'ARP Timing'!E6*VLOOKUP(F$1,'ARP Score'!$A$5:$M14,$A3)</f>
        <v>10.1</v>
      </c>
      <c r="G3" s="1194">
        <f>4*'ARP Timing'!F6*VLOOKUP(G$1,'ARP Score'!$A$5:$M14,$A3)</f>
        <v>10.1</v>
      </c>
      <c r="H3" s="1194">
        <f>4*'ARP Timing'!G6*VLOOKUP(H$1,'ARP Score'!$A$5:$M14,$A3)</f>
        <v>10.1</v>
      </c>
      <c r="I3" s="1194">
        <f>4*'ARP Timing'!H6*VLOOKUP(I$1,'ARP Score'!$A$5:$M14,$A3)</f>
        <v>10.1</v>
      </c>
      <c r="J3" s="1194">
        <f>4*'ARP Timing'!I6*VLOOKUP(J$1,'ARP Score'!$A$5:$M14,$A3)</f>
        <v>0</v>
      </c>
      <c r="K3" s="1194">
        <f>4*'ARP Timing'!J6*VLOOKUP(K$1,'ARP Score'!$A$5:$M14,$A3)</f>
        <v>0</v>
      </c>
      <c r="L3" s="1194">
        <f>4*'ARP Timing'!K6*VLOOKUP(L$1,'ARP Score'!$A$5:$M14,$A3)</f>
        <v>0</v>
      </c>
      <c r="M3" s="1194">
        <f>4*'ARP Timing'!L6*VLOOKUP(M$1,'ARP Score'!$A$5:$M14,$A3)</f>
        <v>0</v>
      </c>
      <c r="N3" s="1194">
        <f>4*'ARP Timing'!M6*VLOOKUP(N$1,'ARP Score'!$A$5:$M14,$A3)</f>
        <v>0</v>
      </c>
      <c r="O3" s="1194">
        <f>4*'ARP Timing'!N6*VLOOKUP(O$1,'ARP Score'!$A$5:$M14,$A3)</f>
        <v>0</v>
      </c>
      <c r="P3" s="1194">
        <f>4*'ARP Timing'!O6*VLOOKUP(P$1,'ARP Score'!$A$5:$M14,$A3)</f>
        <v>0</v>
      </c>
      <c r="Q3" s="1194">
        <f>4*'ARP Timing'!P6*VLOOKUP(Q$1,'ARP Score'!$A$5:$M14,$A3)</f>
        <v>0</v>
      </c>
      <c r="R3" s="1194">
        <f>4*'ARP Timing'!Q6*VLOOKUP(R$1,'ARP Score'!$A$5:$M14,$A3)</f>
        <v>0</v>
      </c>
      <c r="S3" s="1194">
        <f>4*'ARP Timing'!R6*VLOOKUP(S$1,'ARP Score'!$A$5:$M14,$A3)</f>
        <v>0</v>
      </c>
      <c r="T3" s="1194">
        <f>4*'ARP Timing'!S6*VLOOKUP(T$1,'ARP Score'!$A$5:$M14,$A3)</f>
        <v>0</v>
      </c>
      <c r="U3" s="1194">
        <f>4*'ARP Timing'!T6*VLOOKUP(U$1,'ARP Score'!$A$5:$M14,$A3)</f>
        <v>0</v>
      </c>
      <c r="V3" s="1194">
        <f>4*'ARP Timing'!U6*VLOOKUP(V$1,'ARP Score'!$A$5:$M14,$A3)</f>
        <v>0</v>
      </c>
      <c r="W3" s="1194">
        <f>SUM(C3:U3)/4</f>
        <v>205.8</v>
      </c>
    </row>
    <row r="4" spans="1:23" x14ac:dyDescent="0.3">
      <c r="A4" s="1150">
        <v>5</v>
      </c>
      <c r="B4" s="33" t="s">
        <v>728</v>
      </c>
      <c r="C4" s="1194">
        <f>4*'ARP Timing'!B7*VLOOKUP(C$1,'ARP Score'!$A$5:$M15,$A4)</f>
        <v>0</v>
      </c>
      <c r="D4" s="1194">
        <f>4*'ARP Timing'!C7*VLOOKUP(D$1,'ARP Score'!$A$5:$M15,$A4)</f>
        <v>0</v>
      </c>
      <c r="E4" s="1194">
        <f>4*'ARP Timing'!D7*VLOOKUP(E$1,'ARP Score'!$A$5:$M15,$A4)</f>
        <v>3.1040000000000418</v>
      </c>
      <c r="F4" s="1194">
        <f>4*'ARP Timing'!E7*VLOOKUP(F$1,'ARP Score'!$A$5:$M15,$A4)</f>
        <v>19.719000000000005</v>
      </c>
      <c r="G4" s="1194">
        <f>4*'ARP Timing'!F7*VLOOKUP(G$1,'ARP Score'!$A$5:$M15,$A4)</f>
        <v>19.719000000000005</v>
      </c>
      <c r="H4" s="1194">
        <f>4*'ARP Timing'!G7*VLOOKUP(H$1,'ARP Score'!$A$5:$M15,$A4)</f>
        <v>19.719000000000005</v>
      </c>
      <c r="I4" s="1194">
        <f>4*'ARP Timing'!H7*VLOOKUP(I$1,'ARP Score'!$A$5:$M15,$A4)</f>
        <v>19.719000000000005</v>
      </c>
      <c r="J4" s="1194">
        <f>4*'ARP Timing'!I7*VLOOKUP(J$1,'ARP Score'!$A$5:$M15,$A4)</f>
        <v>1.4159999999999999</v>
      </c>
      <c r="K4" s="1194">
        <f>4*'ARP Timing'!J7*VLOOKUP(K$1,'ARP Score'!$A$5:$M15,$A4)</f>
        <v>1.4159999999999999</v>
      </c>
      <c r="L4" s="1194">
        <f>4*'ARP Timing'!K7*VLOOKUP(L$1,'ARP Score'!$A$5:$M15,$A4)</f>
        <v>1.4159999999999999</v>
      </c>
      <c r="M4" s="1194">
        <f>4*'ARP Timing'!L7*VLOOKUP(M$1,'ARP Score'!$A$5:$M15,$A4)</f>
        <v>1.4159999999999999</v>
      </c>
      <c r="N4" s="1194">
        <f>4*'ARP Timing'!M7*VLOOKUP(N$1,'ARP Score'!$A$5:$M15,$A4)</f>
        <v>1.4790000000000001</v>
      </c>
      <c r="O4" s="1194">
        <f>4*'ARP Timing'!N7*VLOOKUP(O$1,'ARP Score'!$A$5:$M15,$A4)</f>
        <v>1.4790000000000001</v>
      </c>
      <c r="P4" s="1194">
        <f>4*'ARP Timing'!O7*VLOOKUP(P$1,'ARP Score'!$A$5:$M15,$A4)</f>
        <v>1.4790000000000001</v>
      </c>
      <c r="Q4" s="1194">
        <f>4*'ARP Timing'!P7*VLOOKUP(Q$1,'ARP Score'!$A$5:$M15,$A4)</f>
        <v>1.4790000000000001</v>
      </c>
      <c r="R4" s="1194">
        <f>4*'ARP Timing'!Q7*VLOOKUP(R$1,'ARP Score'!$A$5:$M15,$A4)</f>
        <v>1.63</v>
      </c>
      <c r="S4" s="1194">
        <f>4*'ARP Timing'!R7*VLOOKUP(S$1,'ARP Score'!$A$5:$M15,$A4)</f>
        <v>1.63</v>
      </c>
      <c r="T4" s="1194">
        <f>4*'ARP Timing'!S7*VLOOKUP(T$1,'ARP Score'!$A$5:$M15,$A4)</f>
        <v>1.63</v>
      </c>
      <c r="U4" s="1194">
        <f>4*'ARP Timing'!T7*VLOOKUP(U$1,'ARP Score'!$A$5:$M15,$A4)</f>
        <v>1.63</v>
      </c>
      <c r="V4" s="1194">
        <f>4*'ARP Timing'!U7*VLOOKUP(V$1,'ARP Score'!$A$5:$M15,$A4)</f>
        <v>1.671</v>
      </c>
      <c r="W4" s="1194">
        <f>SUM(C4:U4)/4</f>
        <v>25.020000000000007</v>
      </c>
    </row>
    <row r="5" spans="1:23" x14ac:dyDescent="0.3">
      <c r="A5" s="1150">
        <v>6</v>
      </c>
      <c r="B5" s="33" t="s">
        <v>729</v>
      </c>
      <c r="C5" s="1194">
        <f>4*'ARP Timing'!B8*VLOOKUP(C$1,'ARP Score'!$A$5:$M16,$A5)</f>
        <v>0</v>
      </c>
      <c r="D5" s="1194">
        <f>4*'ARP Timing'!C8*VLOOKUP(D$1,'ARP Score'!$A$5:$M16,$A5)</f>
        <v>33.921840000000024</v>
      </c>
      <c r="E5" s="1194">
        <f>4*'ARP Timing'!D8*VLOOKUP(E$1,'ARP Score'!$A$5:$M16,$A5)</f>
        <v>44.966160000000031</v>
      </c>
      <c r="F5" s="1194">
        <f>4*'ARP Timing'!E8*VLOOKUP(F$1,'ARP Score'!$A$5:$M16,$A5)</f>
        <v>52.756999999999998</v>
      </c>
      <c r="G5" s="1194">
        <f>4*'ARP Timing'!F8*VLOOKUP(G$1,'ARP Score'!$A$5:$M16,$A5)</f>
        <v>52.756999999999998</v>
      </c>
      <c r="H5" s="1194">
        <f>4*'ARP Timing'!G8*VLOOKUP(H$1,'ARP Score'!$A$5:$M16,$A5)</f>
        <v>52.756999999999998</v>
      </c>
      <c r="I5" s="1194">
        <f>4*'ARP Timing'!H8*VLOOKUP(I$1,'ARP Score'!$A$5:$M16,$A5)</f>
        <v>52.756999999999998</v>
      </c>
      <c r="J5" s="1194">
        <f>4*'ARP Timing'!I8*VLOOKUP(J$1,'ARP Score'!$A$5:$M16,$A5)</f>
        <v>12</v>
      </c>
      <c r="K5" s="1194">
        <f>4*'ARP Timing'!J8*VLOOKUP(K$1,'ARP Score'!$A$5:$M16,$A5)</f>
        <v>12</v>
      </c>
      <c r="L5" s="1194">
        <f>4*'ARP Timing'!K8*VLOOKUP(L$1,'ARP Score'!$A$5:$M16,$A5)</f>
        <v>12</v>
      </c>
      <c r="M5" s="1194">
        <f>4*'ARP Timing'!L8*VLOOKUP(M$1,'ARP Score'!$A$5:$M16,$A5)</f>
        <v>12</v>
      </c>
      <c r="N5" s="1194">
        <f>4*'ARP Timing'!M8*VLOOKUP(N$1,'ARP Score'!$A$5:$M16,$A5)</f>
        <v>4.2219999999999995</v>
      </c>
      <c r="O5" s="1194">
        <f>4*'ARP Timing'!N8*VLOOKUP(O$1,'ARP Score'!$A$5:$M16,$A5)</f>
        <v>4.2219999999999995</v>
      </c>
      <c r="P5" s="1194">
        <f>4*'ARP Timing'!O8*VLOOKUP(P$1,'ARP Score'!$A$5:$M16,$A5)</f>
        <v>4.2219999999999995</v>
      </c>
      <c r="Q5" s="1194">
        <f>4*'ARP Timing'!P8*VLOOKUP(Q$1,'ARP Score'!$A$5:$M16,$A5)</f>
        <v>4.2219999999999995</v>
      </c>
      <c r="R5" s="1194">
        <f>4*'ARP Timing'!Q8*VLOOKUP(R$1,'ARP Score'!$A$5:$M16,$A5)</f>
        <v>2.3719999999999999</v>
      </c>
      <c r="S5" s="1194">
        <f>4*'ARP Timing'!R8*VLOOKUP(S$1,'ARP Score'!$A$5:$M16,$A5)</f>
        <v>2.3719999999999999</v>
      </c>
      <c r="T5" s="1194">
        <f>4*'ARP Timing'!S8*VLOOKUP(T$1,'ARP Score'!$A$5:$M16,$A5)</f>
        <v>2.3719999999999999</v>
      </c>
      <c r="U5" s="1194">
        <f>4*'ARP Timing'!T8*VLOOKUP(U$1,'ARP Score'!$A$5:$M16,$A5)</f>
        <v>2.3719999999999999</v>
      </c>
      <c r="V5" s="1194">
        <f>4*'ARP Timing'!U8*VLOOKUP(V$1,'ARP Score'!$A$5:$M16,$A5)</f>
        <v>0.49</v>
      </c>
      <c r="W5" s="1194">
        <f t="shared" ref="W5:W15" si="0">SUM(C5:U5)/4</f>
        <v>91.073000000000008</v>
      </c>
    </row>
    <row r="6" spans="1:23" x14ac:dyDescent="0.3">
      <c r="A6" s="1150">
        <v>7</v>
      </c>
      <c r="B6" s="33" t="s">
        <v>821</v>
      </c>
      <c r="C6" s="1194">
        <f>4*'ARP Timing'!B9*VLOOKUP(C$1,'ARP Score'!$A$5:$M17,$A6)</f>
        <v>0</v>
      </c>
      <c r="D6" s="1194">
        <f>4*'ARP Timing'!C9*VLOOKUP(D$1,'ARP Score'!$A$5:$M17,$A6)</f>
        <v>58.782959999999989</v>
      </c>
      <c r="E6" s="1194">
        <f>4*'ARP Timing'!D9*VLOOKUP(E$1,'ARP Score'!$A$5:$M17,$A6)</f>
        <v>267.78904</v>
      </c>
      <c r="F6" s="1194">
        <f>4*'ARP Timing'!E9*VLOOKUP(F$1,'ARP Score'!$A$5:$M17,$A6)</f>
        <v>110.24799999999999</v>
      </c>
      <c r="G6" s="1194">
        <f>4*'ARP Timing'!F9*VLOOKUP(G$1,'ARP Score'!$A$5:$M17,$A6)</f>
        <v>110.24799999999999</v>
      </c>
      <c r="H6" s="1194">
        <f>4*'ARP Timing'!G9*VLOOKUP(H$1,'ARP Score'!$A$5:$M17,$A6)</f>
        <v>110.24799999999999</v>
      </c>
      <c r="I6" s="1194">
        <f>4*'ARP Timing'!H9*VLOOKUP(I$1,'ARP Score'!$A$5:$M17,$A6)</f>
        <v>110.24799999999999</v>
      </c>
      <c r="J6" s="1194">
        <f>4*'ARP Timing'!I9*VLOOKUP(J$1,'ARP Score'!$A$5:$M17,$A6)</f>
        <v>12.726000000000001</v>
      </c>
      <c r="K6" s="1194">
        <f>4*'ARP Timing'!J9*VLOOKUP(K$1,'ARP Score'!$A$5:$M17,$A6)</f>
        <v>12.726000000000001</v>
      </c>
      <c r="L6" s="1194">
        <f>4*'ARP Timing'!K9*VLOOKUP(L$1,'ARP Score'!$A$5:$M17,$A6)</f>
        <v>12.726000000000001</v>
      </c>
      <c r="M6" s="1194">
        <f>4*'ARP Timing'!L9*VLOOKUP(M$1,'ARP Score'!$A$5:$M17,$A6)</f>
        <v>12.726000000000001</v>
      </c>
      <c r="N6" s="1194">
        <f>4*'ARP Timing'!M9*VLOOKUP(N$1,'ARP Score'!$A$5:$M17,$A6)</f>
        <v>1.365</v>
      </c>
      <c r="O6" s="1194">
        <f>4*'ARP Timing'!N9*VLOOKUP(O$1,'ARP Score'!$A$5:$M17,$A6)</f>
        <v>1.365</v>
      </c>
      <c r="P6" s="1194">
        <f>4*'ARP Timing'!O9*VLOOKUP(P$1,'ARP Score'!$A$5:$M17,$A6)</f>
        <v>1.365</v>
      </c>
      <c r="Q6" s="1194">
        <f>4*'ARP Timing'!P9*VLOOKUP(Q$1,'ARP Score'!$A$5:$M17,$A6)</f>
        <v>1.365</v>
      </c>
      <c r="R6" s="1194">
        <f>4*'ARP Timing'!Q9*VLOOKUP(R$1,'ARP Score'!$A$5:$M17,$A6)</f>
        <v>-0.90100000000000025</v>
      </c>
      <c r="S6" s="1194">
        <f>4*'ARP Timing'!R9*VLOOKUP(S$1,'ARP Score'!$A$5:$M17,$A6)</f>
        <v>-0.90100000000000025</v>
      </c>
      <c r="T6" s="1194">
        <f>4*'ARP Timing'!S9*VLOOKUP(T$1,'ARP Score'!$A$5:$M17,$A6)</f>
        <v>-0.90100000000000025</v>
      </c>
      <c r="U6" s="1194">
        <f>4*'ARP Timing'!T9*VLOOKUP(U$1,'ARP Score'!$A$5:$M17,$A6)</f>
        <v>-0.90100000000000025</v>
      </c>
      <c r="V6" s="1194">
        <f>4*'ARP Timing'!U9*VLOOKUP(V$1,'ARP Score'!$A$5:$M17,$A6)</f>
        <v>-2.1500000000000004</v>
      </c>
      <c r="W6" s="1194">
        <f t="shared" si="0"/>
        <v>205.08100000000007</v>
      </c>
    </row>
    <row r="7" spans="1:23" x14ac:dyDescent="0.3">
      <c r="A7" s="1150">
        <v>8</v>
      </c>
      <c r="B7" s="33" t="s">
        <v>131</v>
      </c>
      <c r="C7" s="1194">
        <f>4*'ARP Timing'!B10*VLOOKUP(C$1,'ARP Score'!$A$5:$M18,$A7)</f>
        <v>0</v>
      </c>
      <c r="D7" s="1194">
        <f>4*'ARP Timing'!C10*VLOOKUP(D$1,'ARP Score'!$A$5:$M18,$A7)</f>
        <v>15.596</v>
      </c>
      <c r="E7" s="1194">
        <f>4*'ARP Timing'!D10*VLOOKUP(E$1,'ARP Score'!$A$5:$M18,$A7)</f>
        <v>15.596</v>
      </c>
      <c r="F7" s="1194">
        <f>4*'ARP Timing'!E10*VLOOKUP(F$1,'ARP Score'!$A$5:$M18,$A7)</f>
        <v>7.9489999999999998</v>
      </c>
      <c r="G7" s="1194">
        <f>4*'ARP Timing'!F10*VLOOKUP(G$1,'ARP Score'!$A$5:$M18,$A7)</f>
        <v>7.9489999999999998</v>
      </c>
      <c r="H7" s="1194">
        <f>4*'ARP Timing'!G10*VLOOKUP(H$1,'ARP Score'!$A$5:$M18,$A7)</f>
        <v>7.9489999999999998</v>
      </c>
      <c r="I7" s="1194">
        <f>4*'ARP Timing'!H10*VLOOKUP(I$1,'ARP Score'!$A$5:$M18,$A7)</f>
        <v>7.9489999999999998</v>
      </c>
      <c r="J7" s="1194">
        <f>4*'ARP Timing'!I10*VLOOKUP(J$1,'ARP Score'!$A$5:$M18,$A7)</f>
        <v>4.7519999999999998</v>
      </c>
      <c r="K7" s="1194">
        <f>4*'ARP Timing'!J10*VLOOKUP(K$1,'ARP Score'!$A$5:$M18,$A7)</f>
        <v>4.7519999999999998</v>
      </c>
      <c r="L7" s="1194">
        <f>4*'ARP Timing'!K10*VLOOKUP(L$1,'ARP Score'!$A$5:$M18,$A7)</f>
        <v>4.7519999999999998</v>
      </c>
      <c r="M7" s="1194">
        <f>4*'ARP Timing'!L10*VLOOKUP(M$1,'ARP Score'!$A$5:$M18,$A7)</f>
        <v>4.7519999999999998</v>
      </c>
      <c r="N7" s="1194">
        <f>4*'ARP Timing'!M10*VLOOKUP(N$1,'ARP Score'!$A$5:$M18,$A7)</f>
        <v>4.637999999999999</v>
      </c>
      <c r="O7" s="1194">
        <f>4*'ARP Timing'!N10*VLOOKUP(O$1,'ARP Score'!$A$5:$M18,$A7)</f>
        <v>4.637999999999999</v>
      </c>
      <c r="P7" s="1194">
        <f>4*'ARP Timing'!O10*VLOOKUP(P$1,'ARP Score'!$A$5:$M18,$A7)</f>
        <v>4.637999999999999</v>
      </c>
      <c r="Q7" s="1194">
        <f>4*'ARP Timing'!P10*VLOOKUP(Q$1,'ARP Score'!$A$5:$M18,$A7)</f>
        <v>4.637999999999999</v>
      </c>
      <c r="R7" s="1194">
        <f>4*'ARP Timing'!Q10*VLOOKUP(R$1,'ARP Score'!$A$5:$M18,$A7)</f>
        <v>1.8800000000000001</v>
      </c>
      <c r="S7" s="1194">
        <f>4*'ARP Timing'!R10*VLOOKUP(S$1,'ARP Score'!$A$5:$M18,$A7)</f>
        <v>1.8800000000000001</v>
      </c>
      <c r="T7" s="1194">
        <f>4*'ARP Timing'!S10*VLOOKUP(T$1,'ARP Score'!$A$5:$M18,$A7)</f>
        <v>1.8800000000000001</v>
      </c>
      <c r="U7" s="1194">
        <f>4*'ARP Timing'!T10*VLOOKUP(U$1,'ARP Score'!$A$5:$M18,$A7)</f>
        <v>1.8800000000000001</v>
      </c>
      <c r="V7" s="1194">
        <f>4*'ARP Timing'!U10*VLOOKUP(V$1,'ARP Score'!$A$5:$M18,$A7)</f>
        <v>1.446</v>
      </c>
      <c r="W7" s="1194">
        <f t="shared" si="0"/>
        <v>27.016999999999996</v>
      </c>
    </row>
    <row r="8" spans="1:23" x14ac:dyDescent="0.3">
      <c r="A8" s="1150">
        <v>9</v>
      </c>
      <c r="B8" s="1196" t="s">
        <v>395</v>
      </c>
      <c r="C8" s="1194">
        <f>4*'ARP Timing'!B$11*VLOOKUP(C$1,'ARP Score'!$A$5:$M19,$A8)</f>
        <v>0</v>
      </c>
      <c r="D8" s="1194">
        <f>0.6*SUM('ARP Score'!B5:B7)*4</f>
        <v>989.16719999999987</v>
      </c>
      <c r="E8" s="1193">
        <v>0</v>
      </c>
      <c r="F8" s="1194">
        <v>0</v>
      </c>
      <c r="G8" s="1194">
        <v>0</v>
      </c>
      <c r="H8" s="1194">
        <f>D8*0.4/0.6</f>
        <v>659.44479999999999</v>
      </c>
      <c r="I8" s="1194">
        <v>0</v>
      </c>
      <c r="J8" s="1150">
        <v>0</v>
      </c>
      <c r="K8" s="1194">
        <v>0</v>
      </c>
      <c r="L8" s="1194">
        <v>0</v>
      </c>
      <c r="M8" s="1194">
        <v>0</v>
      </c>
      <c r="N8" s="1194">
        <v>0</v>
      </c>
      <c r="O8" s="1194">
        <v>0</v>
      </c>
      <c r="P8" s="1194">
        <v>0</v>
      </c>
      <c r="Q8" s="1194">
        <v>0</v>
      </c>
      <c r="R8" s="1194">
        <v>0</v>
      </c>
      <c r="S8" s="1194">
        <v>0</v>
      </c>
      <c r="T8" s="1194">
        <v>0</v>
      </c>
      <c r="U8" s="1194">
        <v>0</v>
      </c>
      <c r="V8" s="1194">
        <v>0</v>
      </c>
      <c r="W8" s="1194">
        <f t="shared" si="0"/>
        <v>412.15299999999996</v>
      </c>
    </row>
    <row r="9" spans="1:23" x14ac:dyDescent="0.3">
      <c r="A9" s="1150">
        <v>10</v>
      </c>
      <c r="B9" s="1196" t="s">
        <v>150</v>
      </c>
      <c r="C9" s="1194">
        <f>4*'ARP Timing'!B$11*VLOOKUP(C$1,'ARP Score'!$A$5:$M20,$A9)</f>
        <v>0</v>
      </c>
      <c r="D9" s="1194">
        <f>4*'ARP Timing'!C$11*VLOOKUP(D$1,'ARP Score'!$A$5:$M20,$A9)</f>
        <v>24.693999999999999</v>
      </c>
      <c r="E9" s="1194">
        <f>4*'ARP Timing'!D$11*VLOOKUP(E$1,'ARP Score'!$A$5:$M20,$A9)</f>
        <v>24.693999999999999</v>
      </c>
      <c r="F9" s="1194">
        <f>4*'ARP Timing'!E$11*VLOOKUP(F$1,'ARP Score'!$A$5:$M20,$A9)</f>
        <v>46.79</v>
      </c>
      <c r="G9" s="1194">
        <f>4*'ARP Timing'!F$11*VLOOKUP(G$1,'ARP Score'!$A$5:$M20,$A9)</f>
        <v>46.79</v>
      </c>
      <c r="H9" s="1194">
        <f>4*'ARP Timing'!G$11*VLOOKUP(H$1,'ARP Score'!$A$5:$M20,$A9)</f>
        <v>46.79</v>
      </c>
      <c r="I9" s="1194">
        <f>4*'ARP Timing'!H$11*VLOOKUP(I$1,'ARP Score'!$A$5:$M20,$A9)</f>
        <v>46.79</v>
      </c>
      <c r="J9" s="1194">
        <f>4*'ARP Timing'!I$11*VLOOKUP(J$1,'ARP Score'!$A$5:$M20,$A9)</f>
        <v>38.595999999999997</v>
      </c>
      <c r="K9" s="1194">
        <f>4*'ARP Timing'!J$11*VLOOKUP(K$1,'ARP Score'!$A$5:$M20,$A9)</f>
        <v>38.595999999999997</v>
      </c>
      <c r="L9" s="1194">
        <f>4*'ARP Timing'!K$11*VLOOKUP(L$1,'ARP Score'!$A$5:$M20,$A9)</f>
        <v>38.595999999999997</v>
      </c>
      <c r="M9" s="1194">
        <f>4*'ARP Timing'!L$11*VLOOKUP(M$1,'ARP Score'!$A$5:$M20,$A9)</f>
        <v>38.595999999999997</v>
      </c>
      <c r="N9" s="1194">
        <f>4*'ARP Timing'!M$11*VLOOKUP(N$1,'ARP Score'!$A$5:$M20,$A9)</f>
        <v>31.911000000000001</v>
      </c>
      <c r="O9" s="1194">
        <f>4*'ARP Timing'!N$11*VLOOKUP(O$1,'ARP Score'!$A$5:$M20,$A9)</f>
        <v>31.911000000000001</v>
      </c>
      <c r="P9" s="1194">
        <f>4*'ARP Timing'!O$11*VLOOKUP(P$1,'ARP Score'!$A$5:$M20,$A9)</f>
        <v>31.911000000000001</v>
      </c>
      <c r="Q9" s="1194">
        <f>4*'ARP Timing'!P$11*VLOOKUP(Q$1,'ARP Score'!$A$5:$M20,$A9)</f>
        <v>31.911000000000001</v>
      </c>
      <c r="R9" s="1194">
        <f>4*'ARP Timing'!Q$11*VLOOKUP(R$1,'ARP Score'!$A$5:$M20,$A9)</f>
        <v>23.099</v>
      </c>
      <c r="S9" s="1194">
        <f>4*'ARP Timing'!R$11*VLOOKUP(S$1,'ARP Score'!$A$5:$M20,$A9)</f>
        <v>23.099</v>
      </c>
      <c r="T9" s="1194">
        <f>4*'ARP Timing'!S$11*VLOOKUP(T$1,'ARP Score'!$A$5:$M20,$A9)</f>
        <v>23.099</v>
      </c>
      <c r="U9" s="1194">
        <f>4*'ARP Timing'!T$11*VLOOKUP(U$1,'ARP Score'!$A$5:$M20,$A9)</f>
        <v>23.099</v>
      </c>
      <c r="V9" s="1194">
        <f>4*'ARP Timing'!U$11*VLOOKUP(V$1,'ARP Score'!$A$5:$M20,$A9)</f>
        <v>10.766999999999999</v>
      </c>
      <c r="W9" s="1194">
        <f t="shared" si="0"/>
        <v>152.74300000000005</v>
      </c>
    </row>
    <row r="10" spans="1:23" x14ac:dyDescent="0.3">
      <c r="A10" s="1200">
        <v>11</v>
      </c>
      <c r="B10" s="1196" t="s">
        <v>411</v>
      </c>
      <c r="C10" s="1194">
        <f>4*'ARP Timing'!B$11*VLOOKUP(C$1,'ARP Score'!$A$5:$M22,$A10)</f>
        <v>0</v>
      </c>
      <c r="D10" s="1194">
        <f>4*'ARP Timing'!C$11*VLOOKUP(D$1,'ARP Score'!$A$5:$M22,$A10)</f>
        <v>59.256</v>
      </c>
      <c r="E10" s="1194">
        <f>4*'ARP Timing'!D$11*VLOOKUP(E$1,'ARP Score'!$A$5:$M22,$A10)</f>
        <v>59.256</v>
      </c>
      <c r="F10" s="1194">
        <f>4*'ARP Timing'!E$11*VLOOKUP(F$1,'ARP Score'!$A$5:$M22,$A10)</f>
        <v>35.671000000000006</v>
      </c>
      <c r="G10" s="1194">
        <f>4*'ARP Timing'!F$11*VLOOKUP(G$1,'ARP Score'!$A$5:$M22,$A10)</f>
        <v>35.671000000000006</v>
      </c>
      <c r="H10" s="1194">
        <f>4*'ARP Timing'!G$11*VLOOKUP(H$1,'ARP Score'!$A$5:$M22,$A10)</f>
        <v>35.671000000000006</v>
      </c>
      <c r="I10" s="1194">
        <f>4*'ARP Timing'!H$11*VLOOKUP(I$1,'ARP Score'!$A$5:$M22,$A10)</f>
        <v>35.671000000000006</v>
      </c>
      <c r="J10" s="1194">
        <f>4*'ARP Timing'!I$11*VLOOKUP(J$1,'ARP Score'!$A$5:$M22,$A10)</f>
        <v>24.216000000000001</v>
      </c>
      <c r="K10" s="1194">
        <f>4*'ARP Timing'!J$11*VLOOKUP(K$1,'ARP Score'!$A$5:$M22,$A10)</f>
        <v>24.216000000000001</v>
      </c>
      <c r="L10" s="1194">
        <f>4*'ARP Timing'!K$11*VLOOKUP(L$1,'ARP Score'!$A$5:$M22,$A10)</f>
        <v>24.216000000000001</v>
      </c>
      <c r="M10" s="1194">
        <f>4*'ARP Timing'!L$11*VLOOKUP(M$1,'ARP Score'!$A$5:$M22,$A10)</f>
        <v>24.216000000000001</v>
      </c>
      <c r="N10" s="1194">
        <f>4*'ARP Timing'!M$11*VLOOKUP(N$1,'ARP Score'!$A$5:$M22,$A10)</f>
        <v>9.6430000000000007</v>
      </c>
      <c r="O10" s="1194">
        <f>4*'ARP Timing'!N$11*VLOOKUP(O$1,'ARP Score'!$A$5:$M22,$A10)</f>
        <v>9.6430000000000007</v>
      </c>
      <c r="P10" s="1194">
        <f>4*'ARP Timing'!O$11*VLOOKUP(P$1,'ARP Score'!$A$5:$M22,$A10)</f>
        <v>9.6430000000000007</v>
      </c>
      <c r="Q10" s="1194">
        <f>4*'ARP Timing'!P$11*VLOOKUP(Q$1,'ARP Score'!$A$5:$M22,$A10)</f>
        <v>9.6430000000000007</v>
      </c>
      <c r="R10" s="1194">
        <f>4*'ARP Timing'!Q$11*VLOOKUP(R$1,'ARP Score'!$A$5:$M22,$A10)</f>
        <v>4.5789999999999997</v>
      </c>
      <c r="S10" s="1194">
        <f>4*'ARP Timing'!R$11*VLOOKUP(S$1,'ARP Score'!$A$5:$M22,$A10)</f>
        <v>4.5789999999999997</v>
      </c>
      <c r="T10" s="1194">
        <f>4*'ARP Timing'!S$11*VLOOKUP(T$1,'ARP Score'!$A$5:$M22,$A10)</f>
        <v>4.5789999999999997</v>
      </c>
      <c r="U10" s="1194">
        <f>4*'ARP Timing'!T$11*VLOOKUP(U$1,'ARP Score'!$A$5:$M22,$A10)</f>
        <v>4.5789999999999997</v>
      </c>
      <c r="V10" s="1194">
        <f>4*'ARP Timing'!U$11*VLOOKUP(V$1,'ARP Score'!$A$5:$M22,$A10)</f>
        <v>2.9130000000000003</v>
      </c>
      <c r="W10" s="1194">
        <f t="shared" si="0"/>
        <v>103.73700000000002</v>
      </c>
    </row>
    <row r="11" spans="1:23" x14ac:dyDescent="0.3">
      <c r="A11" s="1150">
        <v>12</v>
      </c>
      <c r="B11" s="14" t="s">
        <v>159</v>
      </c>
      <c r="C11" s="1194">
        <f>4*'ARP Timing'!B12*VLOOKUP(C$1,'ARP Score'!$A$5:$M20,$A11)</f>
        <v>103</v>
      </c>
      <c r="D11" s="1194">
        <f>4*'ARP Timing'!C12*VLOOKUP(D$1,'ARP Score'!$A$5:$M20,$A11)</f>
        <v>0</v>
      </c>
      <c r="E11" s="1194">
        <f>4*'ARP Timing'!D12*VLOOKUP(E$1,'ARP Score'!$A$5:$M20,$A11)</f>
        <v>0</v>
      </c>
      <c r="F11" s="1194">
        <f>4*'ARP Timing'!E12*VLOOKUP(F$1,'ARP Score'!$A$5:$M20,$A11)</f>
        <v>0</v>
      </c>
      <c r="G11" s="1194">
        <f>4*'ARP Timing'!F12*VLOOKUP(G$1,'ARP Score'!$A$5:$M20,$A11)</f>
        <v>0</v>
      </c>
      <c r="H11" s="1194">
        <f>4*'ARP Timing'!G12*VLOOKUP(H$1,'ARP Score'!$A$5:$M20,$A11)</f>
        <v>0</v>
      </c>
      <c r="I11" s="1194">
        <f>4*'ARP Timing'!H12*VLOOKUP(I$1,'ARP Score'!$A$5:$M20,$A11)</f>
        <v>0</v>
      </c>
      <c r="J11" s="1194">
        <f>4*'ARP Timing'!I12*VLOOKUP(J$1,'ARP Score'!$A$5:$M20,$A11)</f>
        <v>0</v>
      </c>
      <c r="K11" s="1194">
        <f>4*'ARP Timing'!J12*VLOOKUP(K$1,'ARP Score'!$A$5:$M20,$A11)</f>
        <v>0</v>
      </c>
      <c r="L11" s="1194">
        <f>4*'ARP Timing'!K12*VLOOKUP(L$1,'ARP Score'!$A$5:$M20,$A11)</f>
        <v>0</v>
      </c>
      <c r="M11" s="1194">
        <f>4*'ARP Timing'!L12*VLOOKUP(M$1,'ARP Score'!$A$5:$M20,$A11)</f>
        <v>0</v>
      </c>
      <c r="N11" s="1194">
        <f>4*'ARP Timing'!M12*VLOOKUP(N$1,'ARP Score'!$A$5:$M20,$A11)</f>
        <v>0</v>
      </c>
      <c r="O11" s="1194">
        <f>4*'ARP Timing'!N12*VLOOKUP(O$1,'ARP Score'!$A$5:$M20,$A11)</f>
        <v>0</v>
      </c>
      <c r="P11" s="1194">
        <f>4*'ARP Timing'!O12*VLOOKUP(P$1,'ARP Score'!$A$5:$M20,$A11)</f>
        <v>0</v>
      </c>
      <c r="Q11" s="1194">
        <f>4*'ARP Timing'!P12*VLOOKUP(Q$1,'ARP Score'!$A$5:$M20,$A11)</f>
        <v>0</v>
      </c>
      <c r="R11" s="1194">
        <f>4*'ARP Timing'!Q12*VLOOKUP(R$1,'ARP Score'!$A$5:$M20,$A11)</f>
        <v>0</v>
      </c>
      <c r="S11" s="1194">
        <f>4*'ARP Timing'!R12*VLOOKUP(S$1,'ARP Score'!$A$5:$M20,$A11)</f>
        <v>0</v>
      </c>
      <c r="T11" s="1194">
        <f>4*'ARP Timing'!S12*VLOOKUP(T$1,'ARP Score'!$A$5:$M20,$A11)</f>
        <v>0</v>
      </c>
      <c r="U11" s="1194">
        <f>4*'ARP Timing'!T12*VLOOKUP(U$1,'ARP Score'!$A$5:$M20,$A11)</f>
        <v>0</v>
      </c>
      <c r="V11" s="1194">
        <f>4*'ARP Timing'!U12*VLOOKUP(V$1,'ARP Score'!$A$5:$M20,$A11)</f>
        <v>0</v>
      </c>
      <c r="W11" s="1194">
        <f t="shared" si="0"/>
        <v>25.75</v>
      </c>
    </row>
    <row r="12" spans="1:23" x14ac:dyDescent="0.3">
      <c r="A12" s="1150">
        <v>13</v>
      </c>
      <c r="B12" s="33" t="s">
        <v>109</v>
      </c>
      <c r="C12" s="1194">
        <f>4*'ARP Timing'!B13*VLOOKUP(C$1,'ARP Score'!$A$5:$M21,$A12)</f>
        <v>0</v>
      </c>
      <c r="D12" s="1194">
        <f>4*'ARP Timing'!C13*VLOOKUP(D$1,'ARP Score'!$A$5:$M21,$A12)</f>
        <v>51.102400000000003</v>
      </c>
      <c r="E12" s="1194">
        <f>4*'ARP Timing'!D13*VLOOKUP(E$1,'ARP Score'!$A$5:$M21,$A12)</f>
        <v>76.653599999999997</v>
      </c>
      <c r="F12" s="1194">
        <f>4*'ARP Timing'!E13*VLOOKUP(F$1,'ARP Score'!$A$5:$M21,$A12)</f>
        <v>90.260800000000003</v>
      </c>
      <c r="G12" s="1194">
        <f>4*'ARP Timing'!F13*VLOOKUP(G$1,'ARP Score'!$A$5:$M21,$A12)</f>
        <v>67.695599999999999</v>
      </c>
      <c r="H12" s="1194">
        <f>4*'ARP Timing'!G13*VLOOKUP(H$1,'ARP Score'!$A$5:$M21,$A12)</f>
        <v>45.130400000000002</v>
      </c>
      <c r="I12" s="1194">
        <f>4*'ARP Timing'!H13*VLOOKUP(I$1,'ARP Score'!$A$5:$M21,$A12)</f>
        <v>22.565200000000001</v>
      </c>
      <c r="J12" s="1194">
        <f>4*'ARP Timing'!I13*VLOOKUP(J$1,'ARP Score'!$A$5:$M21,$A12)</f>
        <v>15.652999999999999</v>
      </c>
      <c r="K12" s="1194">
        <f>4*'ARP Timing'!J13*VLOOKUP(K$1,'ARP Score'!$A$5:$M21,$A12)</f>
        <v>15.652999999999999</v>
      </c>
      <c r="L12" s="1194">
        <f>4*'ARP Timing'!K13*VLOOKUP(L$1,'ARP Score'!$A$5:$M21,$A12)</f>
        <v>15.652999999999999</v>
      </c>
      <c r="M12" s="1194">
        <f>4*'ARP Timing'!L13*VLOOKUP(M$1,'ARP Score'!$A$5:$M21,$A12)</f>
        <v>15.652999999999999</v>
      </c>
      <c r="N12" s="1194">
        <f>4*'ARP Timing'!M13*VLOOKUP(N$1,'ARP Score'!$A$5:$M21,$A12)</f>
        <v>3.9320000000000004</v>
      </c>
      <c r="O12" s="1194">
        <f>4*'ARP Timing'!N13*VLOOKUP(O$1,'ARP Score'!$A$5:$M21,$A12)</f>
        <v>3.9320000000000004</v>
      </c>
      <c r="P12" s="1194">
        <f>4*'ARP Timing'!O13*VLOOKUP(P$1,'ARP Score'!$A$5:$M21,$A12)</f>
        <v>3.9320000000000004</v>
      </c>
      <c r="Q12" s="1194">
        <f>4*'ARP Timing'!P13*VLOOKUP(Q$1,'ARP Score'!$A$5:$M21,$A12)</f>
        <v>3.9320000000000004</v>
      </c>
      <c r="R12" s="1194">
        <f>4*'ARP Timing'!Q13*VLOOKUP(R$1,'ARP Score'!$A$5:$M21,$A12)</f>
        <v>-0.74299999999999988</v>
      </c>
      <c r="S12" s="1194">
        <f>4*'ARP Timing'!R13*VLOOKUP(S$1,'ARP Score'!$A$5:$M21,$A12)</f>
        <v>-0.74299999999999988</v>
      </c>
      <c r="T12" s="1194">
        <f>4*'ARP Timing'!S13*VLOOKUP(T$1,'ARP Score'!$A$5:$M21,$A12)</f>
        <v>-0.74299999999999988</v>
      </c>
      <c r="U12" s="1194">
        <f>4*'ARP Timing'!T13*VLOOKUP(U$1,'ARP Score'!$A$5:$M21,$A12)</f>
        <v>-0.74299999999999988</v>
      </c>
      <c r="V12" s="1194">
        <f>4*'ARP Timing'!U13*VLOOKUP(V$1,'ARP Score'!$A$5:$M21,$A12)</f>
        <v>-21.606000000000002</v>
      </c>
      <c r="W12" s="1194">
        <f t="shared" si="0"/>
        <v>107.19400000000005</v>
      </c>
    </row>
    <row r="13" spans="1:23" x14ac:dyDescent="0.3">
      <c r="A13" s="1150">
        <v>15</v>
      </c>
      <c r="B13" s="1150" t="s">
        <v>822</v>
      </c>
      <c r="C13" s="1194">
        <f>0.3*'ARP Score'!$N5*4*'ARP Timing'!B6</f>
        <v>0</v>
      </c>
      <c r="D13" s="1194">
        <f>0.3*'ARP Score'!$N5*4*'ARP Timing'!C6</f>
        <v>1.7544</v>
      </c>
      <c r="E13" s="1194">
        <f>0.3*'ARP Score'!$N5*4*'ARP Timing'!D6</f>
        <v>2.3255999999999997</v>
      </c>
      <c r="F13" s="1194">
        <f>0.3*'ARP Score'!$N6*4*'ARP Timing'!E6</f>
        <v>1.5299999999999998</v>
      </c>
      <c r="G13" s="1194">
        <f>0.3*'ARP Score'!$N6*4*'ARP Timing'!F6</f>
        <v>1.5299999999999998</v>
      </c>
      <c r="H13" s="1194">
        <f>0.3*'ARP Score'!$N6*4*'ARP Timing'!G6</f>
        <v>1.5299999999999998</v>
      </c>
      <c r="I13" s="1194">
        <f>0.3*'ARP Score'!$N6*4*'ARP Timing'!H6</f>
        <v>1.5299999999999998</v>
      </c>
      <c r="J13" s="1194">
        <f>0.3*'ARP Score'!$N7*4*'ARP Timing'!I6</f>
        <v>0</v>
      </c>
      <c r="K13" s="1194">
        <f>0.3*'ARP Score'!$N7*4*'ARP Timing'!J6</f>
        <v>0</v>
      </c>
      <c r="L13" s="1194">
        <f>0.3*'ARP Score'!$N7*4*'ARP Timing'!K6</f>
        <v>0</v>
      </c>
      <c r="M13" s="1194">
        <f>0.3*'ARP Score'!$N7*4*'ARP Timing'!L6</f>
        <v>0</v>
      </c>
      <c r="N13" s="1194">
        <f>0.3*'ARP Score'!$N7*4*'ARP Timing'!M6</f>
        <v>0</v>
      </c>
      <c r="O13" s="1194">
        <f>0.3*'ARP Score'!$N7*4*'ARP Timing'!N6</f>
        <v>0</v>
      </c>
      <c r="P13" s="1194">
        <f>0.3*'ARP Score'!$N7*4*'ARP Timing'!O6</f>
        <v>0</v>
      </c>
      <c r="Q13" s="1194">
        <f>0.3*'ARP Score'!$N7*4*'ARP Timing'!P6</f>
        <v>0</v>
      </c>
      <c r="R13" s="1194">
        <f>0.3*'ARP Score'!$N7*4*'ARP Timing'!Q6</f>
        <v>0</v>
      </c>
      <c r="S13" s="1194">
        <f>0.3*'ARP Score'!$N7*4*'ARP Timing'!R6</f>
        <v>0</v>
      </c>
      <c r="T13" s="1194">
        <f>0.3*'ARP Score'!$N7*4*'ARP Timing'!S6</f>
        <v>0</v>
      </c>
      <c r="U13" s="1194">
        <f>0.3*'ARP Score'!$N7*4*'ARP Timing'!T6</f>
        <v>0</v>
      </c>
      <c r="V13" s="1194">
        <f>0.3*'ARP Score'!$N7*4*'ARP Timing'!U6</f>
        <v>0</v>
      </c>
      <c r="W13" s="1194">
        <f t="shared" si="0"/>
        <v>2.5499999999999994</v>
      </c>
    </row>
    <row r="14" spans="1:23" x14ac:dyDescent="0.3">
      <c r="A14" s="1150">
        <v>14</v>
      </c>
      <c r="B14" s="1150" t="s">
        <v>823</v>
      </c>
      <c r="C14" s="1194">
        <f>C13/0.3*0.2</f>
        <v>0</v>
      </c>
      <c r="D14" s="1194">
        <f t="shared" ref="D14:F14" si="1">D13/0.3*0.2</f>
        <v>1.1696</v>
      </c>
      <c r="E14" s="1194">
        <f t="shared" si="1"/>
        <v>1.5503999999999998</v>
      </c>
      <c r="F14" s="1194">
        <f t="shared" si="1"/>
        <v>1.02</v>
      </c>
      <c r="G14" s="1194">
        <f t="shared" ref="G14" si="2">G13/0.3*0.2</f>
        <v>1.02</v>
      </c>
      <c r="H14" s="1194">
        <f t="shared" ref="H14" si="3">H13/0.3*0.2</f>
        <v>1.02</v>
      </c>
      <c r="I14" s="1194">
        <f t="shared" ref="I14" si="4">I13/0.3*0.2</f>
        <v>1.02</v>
      </c>
      <c r="J14" s="1194">
        <f t="shared" ref="J14" si="5">J13/0.3*0.2</f>
        <v>0</v>
      </c>
      <c r="K14" s="1194">
        <f t="shared" ref="K14" si="6">K13/0.3*0.2</f>
        <v>0</v>
      </c>
      <c r="L14" s="1194">
        <f t="shared" ref="L14" si="7">L13/0.3*0.2</f>
        <v>0</v>
      </c>
      <c r="M14" s="1194">
        <f t="shared" ref="M14" si="8">M13/0.3*0.2</f>
        <v>0</v>
      </c>
      <c r="N14" s="1194">
        <f t="shared" ref="N14" si="9">N13/0.3*0.2</f>
        <v>0</v>
      </c>
      <c r="O14" s="1194">
        <f t="shared" ref="O14" si="10">O13/0.3*0.2</f>
        <v>0</v>
      </c>
      <c r="P14" s="1194">
        <f t="shared" ref="P14" si="11">P13/0.3*0.2</f>
        <v>0</v>
      </c>
      <c r="Q14" s="1194">
        <f t="shared" ref="Q14" si="12">Q13/0.3*0.2</f>
        <v>0</v>
      </c>
      <c r="R14" s="1194">
        <f t="shared" ref="R14" si="13">R13/0.3*0.2</f>
        <v>0</v>
      </c>
      <c r="S14" s="1194">
        <f t="shared" ref="S14" si="14">S13/0.3*0.2</f>
        <v>0</v>
      </c>
      <c r="T14" s="1194">
        <f t="shared" ref="T14" si="15">T13/0.3*0.2</f>
        <v>0</v>
      </c>
      <c r="U14" s="1194">
        <f t="shared" ref="U14" si="16">U13/0.3*0.2</f>
        <v>0</v>
      </c>
      <c r="V14" s="1194">
        <f t="shared" ref="V14" si="17">V13/0.3*0.2</f>
        <v>0</v>
      </c>
      <c r="W14" s="1194">
        <f t="shared" si="0"/>
        <v>1.6999999999999997</v>
      </c>
    </row>
    <row r="15" spans="1:23" x14ac:dyDescent="0.3">
      <c r="A15" s="1150">
        <v>14</v>
      </c>
      <c r="B15" s="1150" t="s">
        <v>521</v>
      </c>
      <c r="C15" s="1194">
        <f>C14/0.2*0.5</f>
        <v>0</v>
      </c>
      <c r="D15" s="1194">
        <f t="shared" ref="D15:F15" si="18">D14/0.2*0.5</f>
        <v>2.9239999999999999</v>
      </c>
      <c r="E15" s="1194">
        <f t="shared" si="18"/>
        <v>3.8759999999999994</v>
      </c>
      <c r="F15" s="1194">
        <f t="shared" si="18"/>
        <v>2.5499999999999998</v>
      </c>
      <c r="G15" s="1194">
        <f t="shared" ref="G15" si="19">G14/0.2*0.5</f>
        <v>2.5499999999999998</v>
      </c>
      <c r="H15" s="1194">
        <f t="shared" ref="H15" si="20">H14/0.2*0.5</f>
        <v>2.5499999999999998</v>
      </c>
      <c r="I15" s="1194">
        <f t="shared" ref="I15" si="21">I14/0.2*0.5</f>
        <v>2.5499999999999998</v>
      </c>
      <c r="J15" s="1194">
        <f t="shared" ref="J15" si="22">J14/0.2*0.5</f>
        <v>0</v>
      </c>
      <c r="K15" s="1194">
        <f t="shared" ref="K15" si="23">K14/0.2*0.5</f>
        <v>0</v>
      </c>
      <c r="L15" s="1194">
        <f t="shared" ref="L15" si="24">L14/0.2*0.5</f>
        <v>0</v>
      </c>
      <c r="M15" s="1194">
        <f t="shared" ref="M15" si="25">M14/0.2*0.5</f>
        <v>0</v>
      </c>
      <c r="N15" s="1194">
        <f t="shared" ref="N15" si="26">N14/0.2*0.5</f>
        <v>0</v>
      </c>
      <c r="O15" s="1194">
        <f t="shared" ref="O15" si="27">O14/0.2*0.5</f>
        <v>0</v>
      </c>
      <c r="P15" s="1194">
        <f t="shared" ref="P15" si="28">P14/0.2*0.5</f>
        <v>0</v>
      </c>
      <c r="Q15" s="1194">
        <f t="shared" ref="Q15" si="29">Q14/0.2*0.5</f>
        <v>0</v>
      </c>
      <c r="R15" s="1194">
        <f t="shared" ref="R15" si="30">R14/0.2*0.5</f>
        <v>0</v>
      </c>
      <c r="S15" s="1194">
        <f t="shared" ref="S15" si="31">S14/0.2*0.5</f>
        <v>0</v>
      </c>
      <c r="T15" s="1194">
        <f t="shared" ref="T15" si="32">T14/0.2*0.5</f>
        <v>0</v>
      </c>
      <c r="U15" s="1194">
        <f t="shared" ref="U15" si="33">U14/0.2*0.5</f>
        <v>0</v>
      </c>
      <c r="V15" s="1194">
        <f t="shared" ref="V15" si="34">V14/0.2*0.5</f>
        <v>0</v>
      </c>
      <c r="W15" s="1194">
        <f t="shared" si="0"/>
        <v>4.25</v>
      </c>
    </row>
    <row r="16" spans="1:23" x14ac:dyDescent="0.3">
      <c r="C16" s="1194"/>
      <c r="D16" s="1194"/>
      <c r="E16" s="1194"/>
      <c r="F16" s="1194"/>
      <c r="G16" s="1194"/>
      <c r="H16" s="1194"/>
      <c r="I16" s="1194"/>
      <c r="J16" s="1194"/>
      <c r="K16" s="1194"/>
      <c r="L16" s="1194"/>
      <c r="M16" s="1194"/>
      <c r="N16" s="1194"/>
      <c r="O16" s="1194"/>
      <c r="P16" s="1194"/>
      <c r="Q16" s="1194"/>
      <c r="R16" s="1194"/>
      <c r="S16" s="1194"/>
      <c r="T16" s="1194"/>
      <c r="U16" s="1194"/>
      <c r="V16" s="1194"/>
      <c r="W16" s="1194"/>
    </row>
    <row r="17" spans="1:23" x14ac:dyDescent="0.3">
      <c r="A17" s="1150" t="s">
        <v>824</v>
      </c>
      <c r="C17" s="1194"/>
      <c r="D17" s="1194"/>
      <c r="E17" s="1194"/>
      <c r="F17" s="1194"/>
      <c r="G17" s="1194"/>
      <c r="H17" s="1194"/>
      <c r="I17" s="1194"/>
      <c r="J17" s="1194"/>
      <c r="K17" s="1194"/>
      <c r="L17" s="1194"/>
      <c r="M17" s="1194"/>
      <c r="N17" s="1194"/>
      <c r="O17" s="1194"/>
      <c r="P17" s="1194"/>
      <c r="Q17" s="1194"/>
      <c r="R17" s="1194"/>
      <c r="S17" s="1194"/>
      <c r="T17" s="1194"/>
      <c r="U17" s="1194"/>
      <c r="V17" s="1194"/>
      <c r="W17" s="1194"/>
    </row>
    <row r="18" spans="1:23" x14ac:dyDescent="0.3">
      <c r="B18" s="481" t="s">
        <v>143</v>
      </c>
      <c r="C18" s="1194">
        <f>'ARP Score'!$BG5/'ARP Score'!$G5*C6</f>
        <v>0</v>
      </c>
      <c r="D18" s="1194">
        <f>'ARP Score'!$BG5/'ARP Score'!$G5*D6</f>
        <v>2.2132800000000001</v>
      </c>
      <c r="E18" s="1194">
        <f>'ARP Score'!$BG5/'ARP Score'!$G5*E6</f>
        <v>10.082720000000002</v>
      </c>
      <c r="F18" s="1194">
        <f>'ARP Score'!$BG6/'ARP Score'!$G6*F6</f>
        <v>7.1439999999999992</v>
      </c>
      <c r="G18" s="1194">
        <f>'ARP Score'!$BG6/'ARP Score'!$G6*G6</f>
        <v>7.1439999999999992</v>
      </c>
      <c r="H18" s="1194">
        <f>'ARP Score'!$BG6/'ARP Score'!$G6*H6</f>
        <v>7.1439999999999992</v>
      </c>
      <c r="I18" s="1194">
        <f>'ARP Score'!$BG6/'ARP Score'!$G6*I6</f>
        <v>7.1439999999999992</v>
      </c>
      <c r="J18" s="1194">
        <f>'ARP Score'!$BG7/'ARP Score'!$G7*J6</f>
        <v>0</v>
      </c>
      <c r="K18" s="1194">
        <f>'ARP Score'!$BG7/'ARP Score'!$G7*K6</f>
        <v>0</v>
      </c>
      <c r="L18" s="1194">
        <f>'ARP Score'!$BG7/'ARP Score'!$G7*L6</f>
        <v>0</v>
      </c>
      <c r="M18" s="1194">
        <f>'ARP Score'!$BG7/'ARP Score'!$G7*M6</f>
        <v>0</v>
      </c>
      <c r="N18" s="1194"/>
      <c r="O18" s="1194"/>
      <c r="P18" s="1194"/>
      <c r="Q18" s="1194"/>
      <c r="R18" s="1194"/>
      <c r="S18" s="1194"/>
      <c r="T18" s="1194"/>
      <c r="U18" s="1194"/>
      <c r="V18" s="1194"/>
      <c r="W18" s="1194"/>
    </row>
    <row r="19" spans="1:23" x14ac:dyDescent="0.3">
      <c r="B19" s="481" t="s">
        <v>825</v>
      </c>
      <c r="C19" s="1194">
        <f>'ARP Score'!$BI5/'ARP Score'!$G5*C6</f>
        <v>0</v>
      </c>
      <c r="D19" s="1194">
        <f>'ARP Score'!$BI5/'ARP Score'!$G5*D6</f>
        <v>15.128640000000001</v>
      </c>
      <c r="E19" s="1194">
        <f>'ARP Score'!$BI5/'ARP Score'!$G5*E6</f>
        <v>68.919360000000012</v>
      </c>
      <c r="F19" s="1194">
        <f>'ARP Score'!$BI6/'ARP Score'!$G6*F6</f>
        <v>5.6120000000000001</v>
      </c>
      <c r="G19" s="1194">
        <f>'ARP Score'!$BI6/'ARP Score'!$G6*G6</f>
        <v>5.6120000000000001</v>
      </c>
      <c r="H19" s="1194">
        <f>'ARP Score'!$BI6/'ARP Score'!$G6*H6</f>
        <v>5.6120000000000001</v>
      </c>
      <c r="I19" s="1194">
        <f>'ARP Score'!$BI6/'ARP Score'!$G6*I6</f>
        <v>5.6120000000000001</v>
      </c>
      <c r="J19" s="1194">
        <f>'ARP Score'!$B7/'ARP Score'!$G7*J6</f>
        <v>0.48599999999999993</v>
      </c>
      <c r="K19" s="1194">
        <f>'ARP Score'!$B7/'ARP Score'!$G7*K6</f>
        <v>0.48599999999999993</v>
      </c>
      <c r="L19" s="1194">
        <f>'ARP Score'!$B7/'ARP Score'!$G7*L6</f>
        <v>0.48599999999999993</v>
      </c>
      <c r="M19" s="1194">
        <f>'ARP Score'!$B7/'ARP Score'!$G7*M6</f>
        <v>0.48599999999999993</v>
      </c>
      <c r="N19" s="1194">
        <f>'ARP Score'!$B8/'ARP Score'!$G8*N6</f>
        <v>0</v>
      </c>
      <c r="O19" s="1194"/>
      <c r="P19" s="1194"/>
      <c r="Q19" s="1194"/>
      <c r="R19" s="1194"/>
      <c r="S19" s="1194"/>
      <c r="T19" s="1194"/>
      <c r="U19" s="1194"/>
      <c r="V19" s="1194"/>
      <c r="W19" s="1194"/>
    </row>
    <row r="20" spans="1:23" x14ac:dyDescent="0.3">
      <c r="B20" s="481" t="s">
        <v>148</v>
      </c>
      <c r="C20" s="1194">
        <f>'ARP Score'!$BF5/'ARP Score'!$G5*C6</f>
        <v>0</v>
      </c>
      <c r="D20" s="1194">
        <f>'ARP Score'!$BF5/'ARP Score'!$G5*D6</f>
        <v>3.2479199999999997</v>
      </c>
      <c r="E20" s="1194">
        <f>'ARP Score'!$BF5/'ARP Score'!$G5*E6</f>
        <v>14.796080000000002</v>
      </c>
      <c r="F20" s="1194">
        <f>'ARP Score'!$BF6/'ARP Score'!$G6*F6</f>
        <v>1.7329999999999999</v>
      </c>
      <c r="G20" s="1194">
        <f>'ARP Score'!$BF6/'ARP Score'!$G6*G6</f>
        <v>1.7329999999999999</v>
      </c>
      <c r="H20" s="1194">
        <f>'ARP Score'!$BF6/'ARP Score'!$G6*H6</f>
        <v>1.7329999999999999</v>
      </c>
      <c r="I20" s="1194">
        <f>'ARP Score'!$BF6/'ARP Score'!$G6*I6</f>
        <v>1.7329999999999999</v>
      </c>
      <c r="J20" s="1194">
        <f>'ARP Score'!$BF7/'ARP Score'!$G7*J6</f>
        <v>0</v>
      </c>
      <c r="K20" s="1194">
        <f>'ARP Score'!$BF7/'ARP Score'!$G7*K6</f>
        <v>0</v>
      </c>
      <c r="L20" s="1194">
        <f>'ARP Score'!$BF7/'ARP Score'!$G7*L6</f>
        <v>0</v>
      </c>
      <c r="M20" s="1194">
        <f>'ARP Score'!$BF7/'ARP Score'!$G7*M6</f>
        <v>0</v>
      </c>
      <c r="N20" s="1194"/>
      <c r="O20" s="1194"/>
      <c r="P20" s="1194"/>
      <c r="Q20" s="1194"/>
      <c r="R20" s="1194"/>
      <c r="S20" s="1194"/>
      <c r="T20" s="1194"/>
      <c r="U20" s="1194"/>
      <c r="V20" s="1194"/>
      <c r="W20" s="1194"/>
    </row>
    <row r="21" spans="1:23" x14ac:dyDescent="0.3">
      <c r="B21" s="1201" t="s">
        <v>463</v>
      </c>
      <c r="C21" s="1194">
        <f>15/40*(C6*'ARP Score'!$BD5/'ARP Score'!$G5)</f>
        <v>0</v>
      </c>
      <c r="D21" s="1194">
        <f>15/40*(D6*('ARP Score'!$BD5+'ARP Score'!$BE5)/'ARP Score'!$G5)</f>
        <v>13.2921</v>
      </c>
      <c r="E21" s="1194">
        <f>15/40*(E6*('ARP Score'!$BD5+'ARP Score'!$BE5)/'ARP Score'!$G5)</f>
        <v>60.552900000000008</v>
      </c>
      <c r="F21" s="1194">
        <f>15/40*(F6*('ARP Score'!$BD6+'ARP Score'!$BE6)/'ARP Score'!$G6)</f>
        <v>1.0687500000000001</v>
      </c>
      <c r="G21" s="1194">
        <f>15/40*(G6*('ARP Score'!$BD6+'ARP Score'!$BE6)/'ARP Score'!$G6)</f>
        <v>1.0687500000000001</v>
      </c>
      <c r="H21" s="1194">
        <f>15/40*(H6*('ARP Score'!$BD6+'ARP Score'!$BE6)/'ARP Score'!$G6)</f>
        <v>1.0687500000000001</v>
      </c>
      <c r="I21" s="1194">
        <f>15/40*(I6*('ARP Score'!$BD6+'ARP Score'!$BE6)/'ARP Score'!$G6)</f>
        <v>1.0687500000000001</v>
      </c>
      <c r="J21" s="1194">
        <f>15/40*(J6*('ARP Score'!$BD7+'ARP Score'!$BE7)/'ARP Score'!$G7)</f>
        <v>0.78750000000000009</v>
      </c>
      <c r="K21" s="1194">
        <f>15/40*(K6*('ARP Score'!$BD7+'ARP Score'!$BE7)/'ARP Score'!$G7)</f>
        <v>0.78750000000000009</v>
      </c>
      <c r="L21" s="1194">
        <f>15/40*(L6*('ARP Score'!$BD7+'ARP Score'!$BE7)/'ARP Score'!$G7)</f>
        <v>0.78750000000000009</v>
      </c>
      <c r="M21" s="1194">
        <f>15/40*(M6*('ARP Score'!$BD7+'ARP Score'!$BE7)/'ARP Score'!$G7)</f>
        <v>0.78750000000000009</v>
      </c>
      <c r="N21" s="1194"/>
      <c r="O21" s="1194"/>
      <c r="P21" s="1194"/>
      <c r="Q21" s="1194"/>
      <c r="R21" s="1194"/>
      <c r="S21" s="1194"/>
      <c r="T21" s="1194"/>
      <c r="U21" s="1194"/>
      <c r="V21" s="1194"/>
      <c r="W21" s="1194"/>
    </row>
    <row r="22" spans="1:23" x14ac:dyDescent="0.3">
      <c r="B22" s="1201" t="s">
        <v>826</v>
      </c>
      <c r="C22" s="1194"/>
      <c r="D22" s="1194">
        <f>D21/15*25</f>
        <v>22.153499999999998</v>
      </c>
      <c r="E22" s="1194">
        <f>E21/15*25</f>
        <v>100.92150000000002</v>
      </c>
      <c r="F22" s="1194">
        <f>F21/15*25</f>
        <v>1.7812500000000002</v>
      </c>
      <c r="G22" s="1194">
        <f>G21/15*25</f>
        <v>1.7812500000000002</v>
      </c>
      <c r="H22" s="1194">
        <f t="shared" ref="H22:J22" si="35">H21/15*25</f>
        <v>1.7812500000000002</v>
      </c>
      <c r="I22" s="1194">
        <f t="shared" si="35"/>
        <v>1.7812500000000002</v>
      </c>
      <c r="J22" s="1194">
        <f t="shared" si="35"/>
        <v>1.3125000000000002</v>
      </c>
      <c r="K22" s="1194">
        <f t="shared" ref="K22" si="36">K21/15*25</f>
        <v>1.3125000000000002</v>
      </c>
      <c r="L22" s="1194">
        <f t="shared" ref="L22" si="37">L21/15*25</f>
        <v>1.3125000000000002</v>
      </c>
      <c r="M22" s="1194">
        <f t="shared" ref="M22" si="38">M21/15*25</f>
        <v>1.3125000000000002</v>
      </c>
      <c r="N22" s="1194"/>
      <c r="O22" s="1194"/>
      <c r="P22" s="1194"/>
      <c r="Q22" s="1194"/>
      <c r="R22" s="1194"/>
      <c r="S22" s="1194"/>
      <c r="T22" s="1194"/>
      <c r="U22" s="1194"/>
      <c r="V22" s="1194"/>
      <c r="W22" s="1194"/>
    </row>
    <row r="23" spans="1:23" x14ac:dyDescent="0.3">
      <c r="B23" s="481" t="s">
        <v>475</v>
      </c>
      <c r="C23" s="1194">
        <f>'ARP Score'!$BB5/'ARP Score'!$G5*C6</f>
        <v>0</v>
      </c>
      <c r="D23" s="1194">
        <f>'ARP Score'!$BB5/'ARP Score'!$G5*D6</f>
        <v>2.9519999999999995</v>
      </c>
      <c r="E23" s="1194">
        <f>'ARP Score'!$BB5/'ARP Score'!$G5*E6</f>
        <v>13.448</v>
      </c>
      <c r="F23" s="1194">
        <f>'ARP Score'!$BB6/'ARP Score'!$G6*F6</f>
        <v>11.3</v>
      </c>
      <c r="G23" s="1194">
        <f>'ARP Score'!$BB6/'ARP Score'!$G6*G6</f>
        <v>11.3</v>
      </c>
      <c r="H23" s="1194">
        <f>'ARP Score'!$BB6/'ARP Score'!$G6*H6</f>
        <v>11.3</v>
      </c>
      <c r="I23" s="1194">
        <f>'ARP Score'!$BB6/'ARP Score'!$G6*I6</f>
        <v>11.3</v>
      </c>
      <c r="J23" s="1194">
        <f>'ARP Score'!$BB7/'ARP Score'!$G7*J6</f>
        <v>8.4</v>
      </c>
      <c r="K23" s="1194">
        <f>'ARP Score'!$BB7/'ARP Score'!$G7*K6</f>
        <v>8.4</v>
      </c>
      <c r="L23" s="1194">
        <f>'ARP Score'!$BB7/'ARP Score'!$G7*L6</f>
        <v>8.4</v>
      </c>
      <c r="M23" s="1194">
        <f>'ARP Score'!$BB7/'ARP Score'!$G7*M6</f>
        <v>8.4</v>
      </c>
      <c r="N23" s="1194">
        <f>'ARP Score'!$BB8/'ARP Score'!$G8*N6</f>
        <v>0.2</v>
      </c>
      <c r="O23" s="1194">
        <f>'ARP Score'!$BB8/'ARP Score'!$G8*O6</f>
        <v>0.2</v>
      </c>
      <c r="P23" s="1194">
        <f>'ARP Score'!$BB8/'ARP Score'!$G8*P6</f>
        <v>0.2</v>
      </c>
      <c r="Q23" s="1194">
        <f>'ARP Score'!$BB8/'ARP Score'!$G8*Q6</f>
        <v>0.2</v>
      </c>
      <c r="R23" s="1194"/>
      <c r="S23" s="1194"/>
      <c r="T23" s="1194"/>
      <c r="U23" s="1194"/>
      <c r="V23" s="1194"/>
      <c r="W23" s="1194"/>
    </row>
    <row r="24" spans="1:23" x14ac:dyDescent="0.3">
      <c r="B24" s="481" t="s">
        <v>476</v>
      </c>
      <c r="C24" s="1194">
        <f>'ARP Score'!$BH5/'ARP Score'!$G5*C6</f>
        <v>0</v>
      </c>
      <c r="D24" s="1194">
        <f>'ARP Score'!$BH5/'ARP Score'!$G5*D6</f>
        <v>-0.20447999999999997</v>
      </c>
      <c r="E24" s="1194">
        <f>'ARP Score'!$BH5/'ARP Score'!$G5*E6</f>
        <v>-0.93152000000000001</v>
      </c>
      <c r="F24" s="1194">
        <f>'ARP Score'!$BH6/'ARP Score'!$G6*F6</f>
        <v>81.608999999999995</v>
      </c>
      <c r="G24" s="1194">
        <f>'ARP Score'!$BH6/'ARP Score'!$G6*G6</f>
        <v>81.608999999999995</v>
      </c>
      <c r="H24" s="1194">
        <f>'ARP Score'!$BH6/'ARP Score'!$G6*H6</f>
        <v>81.608999999999995</v>
      </c>
      <c r="I24" s="1194">
        <f>'ARP Score'!$BH6/'ARP Score'!$G6*I6</f>
        <v>81.608999999999995</v>
      </c>
      <c r="J24" s="1194">
        <f>'ARP Score'!$BH7/'ARP Score'!$G7*J6</f>
        <v>1.3759999999999999</v>
      </c>
      <c r="K24" s="1194">
        <f>'ARP Score'!$BH7/'ARP Score'!$G7*K6</f>
        <v>1.3759999999999999</v>
      </c>
      <c r="L24" s="1194">
        <f>'ARP Score'!$BH7/'ARP Score'!$G7*L6</f>
        <v>1.3759999999999999</v>
      </c>
      <c r="M24" s="1194">
        <f>'ARP Score'!$BH7/'ARP Score'!$G7*M6</f>
        <v>1.3759999999999999</v>
      </c>
      <c r="N24" s="1194">
        <f>'ARP Score'!$BH8/'ARP Score'!$G8*N6</f>
        <v>-0.87500000000000011</v>
      </c>
      <c r="O24" s="1194">
        <f>'ARP Score'!$BH8/'ARP Score'!$G8*O6</f>
        <v>-0.87500000000000011</v>
      </c>
      <c r="P24" s="1194">
        <f>'ARP Score'!$BH8/'ARP Score'!$G8*P6</f>
        <v>-0.87500000000000011</v>
      </c>
      <c r="Q24" s="1194">
        <f>'ARP Score'!$BH8/'ARP Score'!$G8*Q6</f>
        <v>-0.87500000000000011</v>
      </c>
      <c r="R24" s="1194"/>
      <c r="S24" s="1194"/>
      <c r="T24" s="1194"/>
      <c r="U24" s="1194"/>
      <c r="V24" s="1194"/>
      <c r="W24" s="1194"/>
    </row>
    <row r="25" spans="1:23" x14ac:dyDescent="0.3">
      <c r="B25" s="481" t="s">
        <v>359</v>
      </c>
      <c r="C25" s="1194">
        <f>SUM(C18:C24)</f>
        <v>0</v>
      </c>
      <c r="D25" s="1194">
        <f t="shared" ref="D25:Q25" si="39">SUM(D18:D24)</f>
        <v>58.782959999999996</v>
      </c>
      <c r="E25" s="1194">
        <f t="shared" si="39"/>
        <v>267.78904000000006</v>
      </c>
      <c r="F25" s="1194">
        <f t="shared" si="39"/>
        <v>110.24799999999999</v>
      </c>
      <c r="G25" s="1194">
        <f t="shared" si="39"/>
        <v>110.24799999999999</v>
      </c>
      <c r="H25" s="1194">
        <f t="shared" si="39"/>
        <v>110.24799999999999</v>
      </c>
      <c r="I25" s="1194">
        <f t="shared" si="39"/>
        <v>110.24799999999999</v>
      </c>
      <c r="J25" s="1194">
        <f t="shared" si="39"/>
        <v>12.362</v>
      </c>
      <c r="K25" s="1194">
        <f t="shared" si="39"/>
        <v>12.362</v>
      </c>
      <c r="L25" s="1194">
        <f t="shared" si="39"/>
        <v>12.362</v>
      </c>
      <c r="M25" s="1194">
        <f t="shared" si="39"/>
        <v>12.362</v>
      </c>
      <c r="N25" s="1194">
        <f t="shared" si="39"/>
        <v>-0.67500000000000004</v>
      </c>
      <c r="O25" s="1194">
        <f t="shared" si="39"/>
        <v>-0.67500000000000004</v>
      </c>
      <c r="P25" s="1194">
        <f t="shared" si="39"/>
        <v>-0.67500000000000004</v>
      </c>
      <c r="Q25" s="1194">
        <f t="shared" si="39"/>
        <v>-0.67500000000000004</v>
      </c>
      <c r="R25" s="1194"/>
      <c r="S25" s="1194"/>
      <c r="T25" s="1194"/>
      <c r="U25" s="1194"/>
      <c r="V25" s="1194"/>
      <c r="W25" s="1194"/>
    </row>
    <row r="26" spans="1:23" x14ac:dyDescent="0.3">
      <c r="D26" s="1195">
        <f>D6-D25</f>
        <v>0</v>
      </c>
      <c r="E26" s="1195">
        <f t="shared" ref="E26:M26" si="40">E6-E25</f>
        <v>0</v>
      </c>
      <c r="F26" s="1195">
        <f t="shared" si="40"/>
        <v>0</v>
      </c>
      <c r="G26" s="1195">
        <f t="shared" si="40"/>
        <v>0</v>
      </c>
      <c r="H26" s="1195">
        <f t="shared" si="40"/>
        <v>0</v>
      </c>
      <c r="I26" s="1195">
        <f t="shared" si="40"/>
        <v>0</v>
      </c>
      <c r="J26" s="1195">
        <f t="shared" si="40"/>
        <v>0.36400000000000077</v>
      </c>
      <c r="K26" s="1195">
        <f t="shared" si="40"/>
        <v>0.36400000000000077</v>
      </c>
      <c r="L26" s="1195">
        <f t="shared" si="40"/>
        <v>0.36400000000000077</v>
      </c>
      <c r="M26" s="1195">
        <f t="shared" si="40"/>
        <v>0.36400000000000077</v>
      </c>
    </row>
    <row r="27" spans="1:23" x14ac:dyDescent="0.3">
      <c r="B27" s="1150" t="s">
        <v>827</v>
      </c>
      <c r="D27" s="94" t="s">
        <v>296</v>
      </c>
      <c r="E27" s="94" t="s">
        <v>180</v>
      </c>
      <c r="F27" s="94" t="s">
        <v>181</v>
      </c>
      <c r="G27" s="94" t="s">
        <v>182</v>
      </c>
      <c r="H27" s="94" t="s">
        <v>183</v>
      </c>
      <c r="I27" s="94" t="s">
        <v>184</v>
      </c>
      <c r="J27" s="94" t="s">
        <v>185</v>
      </c>
      <c r="K27" s="94" t="s">
        <v>186</v>
      </c>
      <c r="L27" s="94" t="s">
        <v>187</v>
      </c>
      <c r="M27" s="94" t="s">
        <v>188</v>
      </c>
      <c r="N27" s="94" t="s">
        <v>189</v>
      </c>
      <c r="O27" s="94" t="s">
        <v>190</v>
      </c>
      <c r="P27" s="94" t="s">
        <v>191</v>
      </c>
      <c r="Q27" s="94" t="s">
        <v>175</v>
      </c>
      <c r="R27" s="94" t="s">
        <v>176</v>
      </c>
      <c r="S27" s="94" t="s">
        <v>177</v>
      </c>
      <c r="T27" s="94" t="s">
        <v>818</v>
      </c>
      <c r="U27" s="94" t="s">
        <v>819</v>
      </c>
      <c r="V27" s="94" t="s">
        <v>820</v>
      </c>
    </row>
    <row r="28" spans="1:23" x14ac:dyDescent="0.3">
      <c r="B28" s="33"/>
      <c r="C28" s="1195" t="s">
        <v>359</v>
      </c>
      <c r="D28" s="1197">
        <f>SUM(D29:D43)</f>
        <v>5.8765000000000009</v>
      </c>
      <c r="E28" s="1197">
        <f t="shared" ref="E28:V28" si="41">SUM(E29:E43)</f>
        <v>11.753000000000002</v>
      </c>
      <c r="F28" s="1197">
        <f t="shared" si="41"/>
        <v>15.762320000000003</v>
      </c>
      <c r="G28" s="1197">
        <f t="shared" si="41"/>
        <v>19.771640000000005</v>
      </c>
      <c r="H28" s="1197">
        <f t="shared" si="41"/>
        <v>23.812229000000006</v>
      </c>
      <c r="I28" s="1197">
        <f t="shared" si="41"/>
        <v>27.852818000000006</v>
      </c>
      <c r="J28" s="1197">
        <f t="shared" si="41"/>
        <v>30.517977000000005</v>
      </c>
      <c r="K28" s="1197">
        <f t="shared" si="41"/>
        <v>33.183136000000005</v>
      </c>
      <c r="L28" s="1197">
        <f t="shared" si="41"/>
        <v>36.260924000000003</v>
      </c>
      <c r="M28" s="1197">
        <f t="shared" si="41"/>
        <v>39.338711999999994</v>
      </c>
      <c r="N28" s="1197">
        <f t="shared" si="41"/>
        <v>40.928439999999995</v>
      </c>
      <c r="O28" s="1197">
        <f t="shared" si="41"/>
        <v>42.518167999999996</v>
      </c>
      <c r="P28" s="1197">
        <f t="shared" si="41"/>
        <v>44.428388999999996</v>
      </c>
      <c r="Q28" s="1197">
        <f t="shared" si="41"/>
        <v>46.338610000000003</v>
      </c>
      <c r="R28" s="1197">
        <f t="shared" si="41"/>
        <v>47.279744500000007</v>
      </c>
      <c r="S28" s="1197">
        <f t="shared" si="41"/>
        <v>46.283419000000009</v>
      </c>
      <c r="T28" s="1197">
        <f t="shared" si="41"/>
        <v>45.578489500000011</v>
      </c>
      <c r="U28" s="1197">
        <f t="shared" si="41"/>
        <v>45.454798000000011</v>
      </c>
      <c r="V28" s="1197">
        <f t="shared" si="41"/>
        <v>45.360580000000013</v>
      </c>
    </row>
    <row r="29" spans="1:23" x14ac:dyDescent="0.3">
      <c r="A29" s="1150">
        <v>2021</v>
      </c>
      <c r="B29" s="33" t="s">
        <v>828</v>
      </c>
      <c r="C29" s="1195"/>
      <c r="D29" s="1150">
        <f>($D$9+$D$10)*'ARP Timing'!B$16</f>
        <v>5.8765000000000009</v>
      </c>
      <c r="E29" s="1150">
        <f>($D$9+$D$10)*'ARP Timing'!C$16</f>
        <v>5.8765000000000009</v>
      </c>
      <c r="F29" s="1150">
        <f>($D$9+$D$10)*'ARP Timing'!D$16</f>
        <v>4.11355</v>
      </c>
      <c r="G29" s="1150">
        <f>($D$9+$D$10)*'ARP Timing'!E$16</f>
        <v>4.11355</v>
      </c>
      <c r="H29" s="1150">
        <f>($D$9+$D$10)*'ARP Timing'!F$16</f>
        <v>4.11355</v>
      </c>
      <c r="I29" s="1150">
        <f>($D$9+$D$10)*'ARP Timing'!G$16</f>
        <v>4.11355</v>
      </c>
      <c r="J29" s="1150">
        <f>($D$9+$D$10)*'ARP Timing'!H$16</f>
        <v>4.11355</v>
      </c>
      <c r="K29" s="1150">
        <f>($D$9+$D$10)*'ARP Timing'!I$16</f>
        <v>4.11355</v>
      </c>
      <c r="L29" s="1150">
        <f>($D$9+$D$10)*'ARP Timing'!J$16</f>
        <v>4.11355</v>
      </c>
      <c r="M29" s="1150">
        <f>($D$9+$D$10)*'ARP Timing'!K$16</f>
        <v>4.11355</v>
      </c>
      <c r="N29" s="1150">
        <f>($D$9+$D$10)*'ARP Timing'!L$16</f>
        <v>4.11355</v>
      </c>
      <c r="O29" s="1150">
        <f>($D$9+$D$10)*'ARP Timing'!M$16</f>
        <v>4.11355</v>
      </c>
      <c r="P29" s="1150">
        <f>($D$9+$D$10)*'ARP Timing'!N$16</f>
        <v>3.987625</v>
      </c>
      <c r="Q29" s="1150">
        <f>($D$9+$D$10)*'ARP Timing'!O$16</f>
        <v>3.987625</v>
      </c>
      <c r="R29" s="1150">
        <f>($D$9+$D$10)*'ARP Timing'!P$16</f>
        <v>3.987625</v>
      </c>
      <c r="S29" s="1150">
        <f>($D$9+$D$10)*'ARP Timing'!Q$16</f>
        <v>3.987625</v>
      </c>
      <c r="T29" s="1150">
        <f>($D$9+$D$10)*'ARP Timing'!R$16</f>
        <v>3.987625</v>
      </c>
      <c r="U29" s="1150">
        <f>($D$9+$D$10)*'ARP Timing'!S$16</f>
        <v>3.987625</v>
      </c>
      <c r="V29" s="1150">
        <f>($D$9+$D$10)*'ARP Timing'!T$16</f>
        <v>3.987625</v>
      </c>
    </row>
    <row r="30" spans="1:23" x14ac:dyDescent="0.3">
      <c r="B30" s="33" t="s">
        <v>378</v>
      </c>
      <c r="C30" s="1195"/>
      <c r="E30" s="1150">
        <f>($E$9+$E$10)*'ARP Timing'!B$16</f>
        <v>5.8765000000000009</v>
      </c>
      <c r="F30" s="1150">
        <f>($E$9+$E$10)*'ARP Timing'!C$16</f>
        <v>5.8765000000000009</v>
      </c>
      <c r="G30" s="1150">
        <f>($E$9+$E$10)*'ARP Timing'!D$16</f>
        <v>4.11355</v>
      </c>
      <c r="H30" s="1150">
        <f>($E$9+$E$10)*'ARP Timing'!E$16</f>
        <v>4.11355</v>
      </c>
      <c r="I30" s="1150">
        <f>($E$9+$E$10)*'ARP Timing'!F$16</f>
        <v>4.11355</v>
      </c>
      <c r="J30" s="1150">
        <f>($E$9+$E$10)*'ARP Timing'!G$16</f>
        <v>4.11355</v>
      </c>
      <c r="K30" s="1150">
        <f>($E$9+$E$10)*'ARP Timing'!H$16</f>
        <v>4.11355</v>
      </c>
      <c r="L30" s="1150">
        <f>($E$9+$E$10)*'ARP Timing'!I$16</f>
        <v>4.11355</v>
      </c>
      <c r="M30" s="1150">
        <f>($E$9+$E$10)*'ARP Timing'!J$16</f>
        <v>4.11355</v>
      </c>
      <c r="N30" s="1150">
        <f>($E$9+$E$10)*'ARP Timing'!K$16</f>
        <v>4.11355</v>
      </c>
      <c r="O30" s="1150">
        <f>($E$9+$E$10)*'ARP Timing'!L$16</f>
        <v>4.11355</v>
      </c>
      <c r="P30" s="1150">
        <f>($E$9+$E$10)*'ARP Timing'!M$16</f>
        <v>4.11355</v>
      </c>
      <c r="Q30" s="1150">
        <f>($E$9+$E$10)*'ARP Timing'!N$16</f>
        <v>3.987625</v>
      </c>
      <c r="R30" s="1150">
        <f>($E$9+$E$10)*'ARP Timing'!O$16</f>
        <v>3.987625</v>
      </c>
      <c r="S30" s="1150">
        <f>($E$9+$E$10)*'ARP Timing'!P$16</f>
        <v>3.987625</v>
      </c>
      <c r="T30" s="1150">
        <f>($E$9+$E$10)*'ARP Timing'!Q$16</f>
        <v>3.987625</v>
      </c>
      <c r="U30" s="1150">
        <f>($E$9+$E$10)*'ARP Timing'!R$16</f>
        <v>3.987625</v>
      </c>
      <c r="V30" s="1150">
        <f>($E$9+$E$10)*'ARP Timing'!S$16</f>
        <v>3.987625</v>
      </c>
    </row>
    <row r="31" spans="1:23" x14ac:dyDescent="0.3">
      <c r="B31" s="33" t="s">
        <v>829</v>
      </c>
      <c r="C31" s="1195"/>
      <c r="F31" s="1150">
        <f>($F$9+$F$10)*'ARP Timing'!B$16</f>
        <v>5.7722700000000016</v>
      </c>
      <c r="G31" s="1150">
        <f>($F$9+$F$10)*'ARP Timing'!C$16</f>
        <v>5.7722700000000016</v>
      </c>
      <c r="H31" s="1150">
        <f>($F$9+$F$10)*'ARP Timing'!D$16</f>
        <v>4.0405890000000007</v>
      </c>
      <c r="I31" s="1150">
        <f>($F$9+$F$10)*'ARP Timing'!E$16</f>
        <v>4.0405890000000007</v>
      </c>
      <c r="J31" s="1150">
        <f>($F$9+$F$10)*'ARP Timing'!F$16</f>
        <v>4.0405890000000007</v>
      </c>
      <c r="K31" s="1150">
        <f>($F$9+$F$10)*'ARP Timing'!G$16</f>
        <v>4.0405890000000007</v>
      </c>
      <c r="L31" s="1150">
        <f>($F$9+$F$10)*'ARP Timing'!H$16</f>
        <v>4.0405890000000007</v>
      </c>
      <c r="M31" s="1150">
        <f>($F$9+$F$10)*'ARP Timing'!I$16</f>
        <v>4.0405890000000007</v>
      </c>
      <c r="N31" s="1150">
        <f>($F$9+$F$10)*'ARP Timing'!J$16</f>
        <v>4.0405890000000007</v>
      </c>
      <c r="O31" s="1150">
        <f>($F$9+$F$10)*'ARP Timing'!K$16</f>
        <v>4.0405890000000007</v>
      </c>
      <c r="P31" s="1150">
        <f>($F$9+$F$10)*'ARP Timing'!L$16</f>
        <v>4.0405890000000007</v>
      </c>
      <c r="Q31" s="1150">
        <f>($F$9+$F$10)*'ARP Timing'!M$16</f>
        <v>4.0405890000000007</v>
      </c>
      <c r="R31" s="1150">
        <f>($F$9+$F$10)*'ARP Timing'!N$16</f>
        <v>3.9168975000000006</v>
      </c>
      <c r="S31" s="1150">
        <f>($F$9+$F$10)*'ARP Timing'!O$16</f>
        <v>3.9168975000000006</v>
      </c>
      <c r="T31" s="1150">
        <f>($F$9+$F$10)*'ARP Timing'!P$16</f>
        <v>3.9168975000000006</v>
      </c>
      <c r="U31" s="1150">
        <f>($F$9+$F$10)*'ARP Timing'!Q$16</f>
        <v>3.9168975000000006</v>
      </c>
      <c r="V31" s="1150">
        <f>($F$9+$F$10)*'ARP Timing'!R$16</f>
        <v>3.9168975000000006</v>
      </c>
    </row>
    <row r="32" spans="1:23" x14ac:dyDescent="0.3">
      <c r="A32" s="1150">
        <v>2022</v>
      </c>
      <c r="B32" s="33" t="s">
        <v>247</v>
      </c>
      <c r="C32" s="1195"/>
      <c r="G32" s="1150">
        <f>($G$9+$G$10)*'ARP Timing'!B$16</f>
        <v>5.7722700000000016</v>
      </c>
      <c r="H32" s="1150">
        <f>($G$9+$G$10)*'ARP Timing'!C$16</f>
        <v>5.7722700000000016</v>
      </c>
      <c r="I32" s="1150">
        <f>($G$9+$G$10)*'ARP Timing'!D$16</f>
        <v>4.0405890000000007</v>
      </c>
      <c r="J32" s="1150">
        <f>($G$9+$G$10)*'ARP Timing'!E$16</f>
        <v>4.0405890000000007</v>
      </c>
      <c r="K32" s="1150">
        <f>($G$9+$G$10)*'ARP Timing'!F$16</f>
        <v>4.0405890000000007</v>
      </c>
      <c r="L32" s="1150">
        <f>($G$9+$G$10)*'ARP Timing'!G$16</f>
        <v>4.0405890000000007</v>
      </c>
      <c r="M32" s="1150">
        <f>($G$9+$G$10)*'ARP Timing'!H$16</f>
        <v>4.0405890000000007</v>
      </c>
      <c r="N32" s="1150">
        <f>($G$9+$G$10)*'ARP Timing'!I$16</f>
        <v>4.0405890000000007</v>
      </c>
      <c r="O32" s="1150">
        <f>($G$9+$G$10)*'ARP Timing'!J$16</f>
        <v>4.0405890000000007</v>
      </c>
      <c r="P32" s="1150">
        <f>($G$9+$G$10)*'ARP Timing'!K$16</f>
        <v>4.0405890000000007</v>
      </c>
      <c r="Q32" s="1150">
        <f>($G$9+$G$10)*'ARP Timing'!L$16</f>
        <v>4.0405890000000007</v>
      </c>
      <c r="R32" s="1150">
        <f>($G$9+$G$10)*'ARP Timing'!M$16</f>
        <v>4.0405890000000007</v>
      </c>
      <c r="S32" s="1150">
        <f>($G$9+$G$10)*'ARP Timing'!N$16</f>
        <v>3.9168975000000006</v>
      </c>
      <c r="T32" s="1150">
        <f>($G$9+$G$10)*'ARP Timing'!O$16</f>
        <v>3.9168975000000006</v>
      </c>
      <c r="U32" s="1150">
        <f>($G$9+$G$10)*'ARP Timing'!P$16</f>
        <v>3.9168975000000006</v>
      </c>
      <c r="V32" s="1150">
        <f>($G$9+$G$10)*'ARP Timing'!Q$16</f>
        <v>3.9168975000000006</v>
      </c>
    </row>
    <row r="33" spans="1:23" x14ac:dyDescent="0.3">
      <c r="B33" s="33" t="s">
        <v>248</v>
      </c>
      <c r="C33" s="1195"/>
      <c r="H33" s="1150">
        <f>($H$9+$H$10)*'ARP Timing'!B$16</f>
        <v>5.7722700000000016</v>
      </c>
      <c r="I33" s="1150">
        <f>($H$9+$H$10)*'ARP Timing'!C$16</f>
        <v>5.7722700000000016</v>
      </c>
      <c r="J33" s="1150">
        <f>($H$9+$H$10)*'ARP Timing'!D$16</f>
        <v>4.0405890000000007</v>
      </c>
      <c r="K33" s="1150">
        <f>($H$9+$H$10)*'ARP Timing'!E$16</f>
        <v>4.0405890000000007</v>
      </c>
      <c r="L33" s="1150">
        <f>($H$9+$H$10)*'ARP Timing'!F$16</f>
        <v>4.0405890000000007</v>
      </c>
      <c r="M33" s="1150">
        <f>($H$9+$H$10)*'ARP Timing'!G$16</f>
        <v>4.0405890000000007</v>
      </c>
      <c r="N33" s="1150">
        <f>($H$9+$H$10)*'ARP Timing'!H$16</f>
        <v>4.0405890000000007</v>
      </c>
      <c r="O33" s="1150">
        <f>($H$9+$H$10)*'ARP Timing'!I$16</f>
        <v>4.0405890000000007</v>
      </c>
      <c r="P33" s="1150">
        <f>($H$9+$H$10)*'ARP Timing'!J$16</f>
        <v>4.0405890000000007</v>
      </c>
      <c r="Q33" s="1150">
        <f>($H$9+$H$10)*'ARP Timing'!K$16</f>
        <v>4.0405890000000007</v>
      </c>
      <c r="R33" s="1150">
        <f>($H$9+$H$10)*'ARP Timing'!L$16</f>
        <v>4.0405890000000007</v>
      </c>
      <c r="S33" s="1150">
        <f>($H$9+$H$10)*'ARP Timing'!M$16</f>
        <v>4.0405890000000007</v>
      </c>
      <c r="T33" s="1150">
        <f>($H$9+$H$10)*'ARP Timing'!N$16</f>
        <v>3.9168975000000006</v>
      </c>
      <c r="U33" s="1150">
        <f>($H$9+$H$10)*'ARP Timing'!O$16</f>
        <v>3.9168975000000006</v>
      </c>
      <c r="V33" s="1150">
        <f>($H$9+$H$10)*'ARP Timing'!P$16</f>
        <v>3.9168975000000006</v>
      </c>
    </row>
    <row r="34" spans="1:23" x14ac:dyDescent="0.3">
      <c r="B34" s="33" t="s">
        <v>378</v>
      </c>
      <c r="C34" s="1195"/>
      <c r="H34" s="1195"/>
      <c r="I34" s="1150">
        <f>($I$9+$I10)*'ARP Timing'!B$16</f>
        <v>5.7722700000000016</v>
      </c>
      <c r="J34" s="1150">
        <f>($I$9+$I10)*'ARP Timing'!C$16</f>
        <v>5.7722700000000016</v>
      </c>
      <c r="K34" s="1150">
        <f>($I$9+$I10)*'ARP Timing'!D$16</f>
        <v>4.0405890000000007</v>
      </c>
      <c r="L34" s="1150">
        <f>($I$9+$I10)*'ARP Timing'!E$16</f>
        <v>4.0405890000000007</v>
      </c>
      <c r="M34" s="1150">
        <f>($I$9+$I10)*'ARP Timing'!F$16</f>
        <v>4.0405890000000007</v>
      </c>
      <c r="N34" s="1150">
        <f>($I$9+$I10)*'ARP Timing'!G$16</f>
        <v>4.0405890000000007</v>
      </c>
      <c r="O34" s="1150">
        <f>($I$9+$I10)*'ARP Timing'!H$16</f>
        <v>4.0405890000000007</v>
      </c>
      <c r="P34" s="1150">
        <f>($I$9+$I10)*'ARP Timing'!I$16</f>
        <v>4.0405890000000007</v>
      </c>
      <c r="Q34" s="1150">
        <f>($I$9+$I10)*'ARP Timing'!J$16</f>
        <v>4.0405890000000007</v>
      </c>
      <c r="R34" s="1150">
        <f>($I$9+$I10)*'ARP Timing'!K$16</f>
        <v>4.0405890000000007</v>
      </c>
      <c r="S34" s="1150">
        <f>($I$9+$I10)*'ARP Timing'!L$16</f>
        <v>4.0405890000000007</v>
      </c>
      <c r="T34" s="1150">
        <f>($I$9+$I10)*'ARP Timing'!M$16</f>
        <v>4.0405890000000007</v>
      </c>
      <c r="U34" s="1150">
        <f>($I$9+$I10)*'ARP Timing'!N$16</f>
        <v>3.9168975000000006</v>
      </c>
      <c r="V34" s="1150">
        <f>($I$9+$I10)*'ARP Timing'!O$16</f>
        <v>3.9168975000000006</v>
      </c>
    </row>
    <row r="35" spans="1:23" x14ac:dyDescent="0.3">
      <c r="B35" s="33" t="s">
        <v>829</v>
      </c>
      <c r="C35" s="1195"/>
      <c r="H35" s="1195"/>
      <c r="J35" s="1150">
        <f>($J$9+$J$10)*'ARP Timing'!B$16</f>
        <v>4.3968400000000001</v>
      </c>
      <c r="K35" s="1150">
        <f>($J$9+$J$10)*'ARP Timing'!C$16</f>
        <v>4.3968400000000001</v>
      </c>
      <c r="L35" s="1150">
        <f>($J$9+$J$10)*'ARP Timing'!D$16</f>
        <v>3.077788</v>
      </c>
      <c r="M35" s="1150">
        <f>($J$9+$J$10)*'ARP Timing'!E$16</f>
        <v>3.077788</v>
      </c>
      <c r="N35" s="1150">
        <f>($J$9+$J$10)*'ARP Timing'!F$16</f>
        <v>3.077788</v>
      </c>
      <c r="O35" s="1150">
        <f>($J$9+$J$10)*'ARP Timing'!G$16</f>
        <v>3.077788</v>
      </c>
      <c r="P35" s="1150">
        <f>($J$9+$J$10)*'ARP Timing'!H$16</f>
        <v>3.077788</v>
      </c>
      <c r="Q35" s="1150">
        <f>($J$9+$J$10)*'ARP Timing'!I$16</f>
        <v>3.077788</v>
      </c>
      <c r="R35" s="1150">
        <f>($J$9+$J$10)*'ARP Timing'!J$16</f>
        <v>3.077788</v>
      </c>
      <c r="S35" s="1150">
        <f>($J$9+$J$10)*'ARP Timing'!K$16</f>
        <v>3.077788</v>
      </c>
      <c r="T35" s="1150">
        <f>($J$9+$J$10)*'ARP Timing'!L$16</f>
        <v>3.077788</v>
      </c>
      <c r="U35" s="1150">
        <f>($J$9+$J$10)*'ARP Timing'!M$16</f>
        <v>3.077788</v>
      </c>
      <c r="V35" s="1150">
        <f>($J$9+$J$10)*'ARP Timing'!N$16</f>
        <v>2.9835699999999998</v>
      </c>
    </row>
    <row r="36" spans="1:23" x14ac:dyDescent="0.3">
      <c r="A36" s="1150">
        <v>2023</v>
      </c>
      <c r="B36" s="33" t="s">
        <v>247</v>
      </c>
      <c r="C36" s="1195"/>
      <c r="H36" s="1195"/>
      <c r="K36" s="1150">
        <f>($K$9+$K$10)*'ARP Timing'!B$16</f>
        <v>4.3968400000000001</v>
      </c>
      <c r="L36" s="1150">
        <f>($K$9+$K$10)*'ARP Timing'!C$16</f>
        <v>4.3968400000000001</v>
      </c>
      <c r="M36" s="1150">
        <f>($K$9+$K$10)*'ARP Timing'!D$16</f>
        <v>3.077788</v>
      </c>
      <c r="N36" s="1150">
        <f>($K$9+$K$10)*'ARP Timing'!E$16</f>
        <v>3.077788</v>
      </c>
      <c r="O36" s="1150">
        <f>($K$9+$K$10)*'ARP Timing'!F$16</f>
        <v>3.077788</v>
      </c>
      <c r="P36" s="1150">
        <f>($K$9+$K$10)*'ARP Timing'!G$16</f>
        <v>3.077788</v>
      </c>
      <c r="Q36" s="1150">
        <f>($K$9+$K$10)*'ARP Timing'!H$16</f>
        <v>3.077788</v>
      </c>
      <c r="R36" s="1150">
        <f>($K$9+$K$10)*'ARP Timing'!I$16</f>
        <v>3.077788</v>
      </c>
      <c r="S36" s="1150">
        <f>($K$9+$K$10)*'ARP Timing'!J$16</f>
        <v>3.077788</v>
      </c>
      <c r="T36" s="1150">
        <f>($K$9+$K$10)*'ARP Timing'!K$16</f>
        <v>3.077788</v>
      </c>
      <c r="U36" s="1150">
        <f>($K$9+$K$10)*'ARP Timing'!L$16</f>
        <v>3.077788</v>
      </c>
      <c r="V36" s="1150">
        <f>($K$9+$K$10)*'ARP Timing'!M$16</f>
        <v>3.077788</v>
      </c>
    </row>
    <row r="37" spans="1:23" x14ac:dyDescent="0.3">
      <c r="B37" s="33" t="s">
        <v>248</v>
      </c>
      <c r="C37" s="1195"/>
      <c r="H37" s="1195"/>
      <c r="L37" s="1150">
        <f>($L$9+$L$10)*'ARP Timing'!B$16</f>
        <v>4.3968400000000001</v>
      </c>
      <c r="M37" s="1150">
        <f>($L$9+$L$10)*'ARP Timing'!C$16</f>
        <v>4.3968400000000001</v>
      </c>
      <c r="N37" s="1150">
        <f>($L$9+$L$10)*'ARP Timing'!D$16</f>
        <v>3.077788</v>
      </c>
      <c r="O37" s="1150">
        <f>($L$9+$L$10)*'ARP Timing'!E$16</f>
        <v>3.077788</v>
      </c>
      <c r="P37" s="1150">
        <f>($L$9+$L$10)*'ARP Timing'!F$16</f>
        <v>3.077788</v>
      </c>
      <c r="Q37" s="1150">
        <f>($L$9+$L$10)*'ARP Timing'!G$16</f>
        <v>3.077788</v>
      </c>
      <c r="R37" s="1150">
        <f>($L$9+$L$10)*'ARP Timing'!H$16</f>
        <v>3.077788</v>
      </c>
      <c r="S37" s="1150">
        <f>($L$9+$L$10)*'ARP Timing'!I$16</f>
        <v>3.077788</v>
      </c>
      <c r="T37" s="1150">
        <f>($L$9+$L$10)*'ARP Timing'!J$16</f>
        <v>3.077788</v>
      </c>
      <c r="U37" s="1150">
        <f>($L$9+$L$10)*'ARP Timing'!K$16</f>
        <v>3.077788</v>
      </c>
      <c r="V37" s="1150">
        <f>($L$9+$L$10)*'ARP Timing'!L$16</f>
        <v>3.077788</v>
      </c>
    </row>
    <row r="38" spans="1:23" x14ac:dyDescent="0.3">
      <c r="B38" s="33" t="s">
        <v>378</v>
      </c>
      <c r="C38" s="1195"/>
      <c r="H38" s="1195"/>
      <c r="M38" s="1150">
        <f>($M$9+$M$10)*'ARP Timing'!B$16</f>
        <v>4.3968400000000001</v>
      </c>
      <c r="N38" s="1150">
        <f>($M$9+$M$10)*'ARP Timing'!C$16</f>
        <v>4.3968400000000001</v>
      </c>
      <c r="O38" s="1150">
        <f>($M$9+$M$10)*'ARP Timing'!D$16</f>
        <v>3.077788</v>
      </c>
      <c r="P38" s="1150">
        <f>($M$9+$M$10)*'ARP Timing'!E$16</f>
        <v>3.077788</v>
      </c>
      <c r="Q38" s="1150">
        <f>($M$9+$M$10)*'ARP Timing'!F$16</f>
        <v>3.077788</v>
      </c>
      <c r="R38" s="1150">
        <f>($M$9+$M$10)*'ARP Timing'!G$16</f>
        <v>3.077788</v>
      </c>
      <c r="S38" s="1150">
        <f>($M$9+$M$10)*'ARP Timing'!H$16</f>
        <v>3.077788</v>
      </c>
      <c r="T38" s="1150">
        <f>($M$9+$M$10)*'ARP Timing'!I$16</f>
        <v>3.077788</v>
      </c>
      <c r="U38" s="1150">
        <f>($M$9+$M$10)*'ARP Timing'!J$16</f>
        <v>3.077788</v>
      </c>
      <c r="V38" s="1150">
        <f>($M$9+$M$10)*'ARP Timing'!K$16</f>
        <v>3.077788</v>
      </c>
    </row>
    <row r="39" spans="1:23" x14ac:dyDescent="0.3">
      <c r="B39" s="33" t="s">
        <v>829</v>
      </c>
      <c r="C39" s="1195"/>
      <c r="H39" s="1195"/>
      <c r="N39" s="1150">
        <f>($N$9+$N$10)*'ARP Timing'!B$16</f>
        <v>2.9087800000000006</v>
      </c>
      <c r="O39" s="1150">
        <f>($N$9+$N$10)*'ARP Timing'!C$16</f>
        <v>2.9087800000000006</v>
      </c>
      <c r="P39" s="1150">
        <f>($N$9+$N$10)*'ARP Timing'!D$16</f>
        <v>2.036146</v>
      </c>
      <c r="Q39" s="1150">
        <f>($N$9+$N$10)*'ARP Timing'!E$16</f>
        <v>2.036146</v>
      </c>
      <c r="R39" s="1150">
        <f>($N$9+$N$10)*'ARP Timing'!F$16</f>
        <v>2.036146</v>
      </c>
      <c r="S39" s="1150">
        <f>($N$9+$N$10)*'ARP Timing'!G$16</f>
        <v>2.036146</v>
      </c>
      <c r="T39" s="1150">
        <f>($N$9+$N$10)*'ARP Timing'!H$16</f>
        <v>2.036146</v>
      </c>
      <c r="U39" s="1150">
        <f>($N$9+$N$10)*'ARP Timing'!I$16</f>
        <v>2.036146</v>
      </c>
      <c r="V39" s="1150">
        <f>($N$9+$N$10)*'ARP Timing'!J$16</f>
        <v>2.036146</v>
      </c>
    </row>
    <row r="40" spans="1:23" x14ac:dyDescent="0.3">
      <c r="A40" s="1150">
        <v>2024</v>
      </c>
      <c r="B40" s="33" t="s">
        <v>247</v>
      </c>
      <c r="C40" s="1195"/>
      <c r="H40" s="1195"/>
      <c r="O40" s="1150">
        <f>($O$9+$O$10)*'ARP Timing'!B$16</f>
        <v>2.9087800000000006</v>
      </c>
      <c r="P40" s="1150">
        <f>($O$9+$O$10)*'ARP Timing'!C$16</f>
        <v>2.9087800000000006</v>
      </c>
      <c r="Q40" s="1150">
        <f>($O$9+$O$10)*'ARP Timing'!D$16</f>
        <v>2.036146</v>
      </c>
      <c r="R40" s="1150">
        <f>($O$9+$O$10)*'ARP Timing'!E$16</f>
        <v>2.036146</v>
      </c>
      <c r="S40" s="1150">
        <f>($O$9+$O$10)*'ARP Timing'!F$16</f>
        <v>2.036146</v>
      </c>
      <c r="T40" s="1150">
        <f>($O$9+$O$10)*'ARP Timing'!G$16</f>
        <v>2.036146</v>
      </c>
      <c r="U40" s="1150">
        <f>($O$9+$O$10)*'ARP Timing'!H$16</f>
        <v>2.036146</v>
      </c>
      <c r="V40" s="1150">
        <f>($O$9+$O$10)*'ARP Timing'!I$16</f>
        <v>2.036146</v>
      </c>
    </row>
    <row r="41" spans="1:23" x14ac:dyDescent="0.3">
      <c r="B41" s="33" t="s">
        <v>248</v>
      </c>
      <c r="C41" s="1195"/>
      <c r="H41" s="1195"/>
      <c r="P41" s="1150">
        <f>($P$9+$P$10)*'ARP Timing'!B$16</f>
        <v>2.9087800000000006</v>
      </c>
      <c r="Q41" s="1150">
        <f>($P$9+$P$10)*'ARP Timing'!C$16</f>
        <v>2.9087800000000006</v>
      </c>
      <c r="R41" s="1150">
        <f>($P$9+$P$10)*'ARP Timing'!D$16</f>
        <v>2.036146</v>
      </c>
      <c r="S41" s="1150">
        <f>($P$9+$P$10)*'ARP Timing'!E$16</f>
        <v>2.036146</v>
      </c>
      <c r="T41" s="1150">
        <f>($P$9+$P$10)*'ARP Timing'!F$16</f>
        <v>2.036146</v>
      </c>
      <c r="U41" s="1150">
        <f>($P$9+$P$10)*'ARP Timing'!G$16</f>
        <v>2.036146</v>
      </c>
      <c r="V41" s="1150">
        <f>($P$9+$P$10)*'ARP Timing'!H$16</f>
        <v>2.036146</v>
      </c>
    </row>
    <row r="42" spans="1:23" x14ac:dyDescent="0.3">
      <c r="B42" s="33" t="s">
        <v>378</v>
      </c>
      <c r="C42" s="1195"/>
      <c r="H42" s="1195"/>
      <c r="Q42" s="1150">
        <f>($Q$9+$Q$10)*'ARP Timing'!B$16</f>
        <v>2.9087800000000006</v>
      </c>
      <c r="R42" s="1150">
        <f>($Q$9+$Q$10)*'ARP Timing'!C$16</f>
        <v>2.9087800000000006</v>
      </c>
      <c r="S42" s="1150">
        <f>($Q$9+$Q$10)*'ARP Timing'!D$16</f>
        <v>2.036146</v>
      </c>
      <c r="T42" s="1150">
        <f>($Q$9+$Q$10)*'ARP Timing'!E$16</f>
        <v>2.036146</v>
      </c>
      <c r="U42" s="1150">
        <f>($Q$9+$Q$10)*'ARP Timing'!F$16</f>
        <v>2.036146</v>
      </c>
      <c r="V42" s="1150">
        <f>($Q$9+$Q$10)*'ARP Timing'!G$16</f>
        <v>2.036146</v>
      </c>
    </row>
    <row r="43" spans="1:23" x14ac:dyDescent="0.3">
      <c r="B43" s="33" t="s">
        <v>829</v>
      </c>
      <c r="C43" s="1195"/>
      <c r="H43" s="1195"/>
      <c r="R43" s="1150">
        <f>($R$9+$R$10)*'ARP Timing'!B$16</f>
        <v>1.9374600000000002</v>
      </c>
      <c r="S43" s="1150">
        <f>($R$9+$R$10)*'ARP Timing'!C$16</f>
        <v>1.9374600000000002</v>
      </c>
      <c r="T43" s="1150">
        <f>($R$9+$R$10)*'ARP Timing'!D$16</f>
        <v>1.356222</v>
      </c>
      <c r="U43" s="1150">
        <f>($R$9+$R$10)*'ARP Timing'!E$16</f>
        <v>1.356222</v>
      </c>
      <c r="V43" s="1150">
        <f>($R$9+$R$10)*'ARP Timing'!F$16</f>
        <v>1.356222</v>
      </c>
    </row>
    <row r="44" spans="1:23" x14ac:dyDescent="0.3">
      <c r="S44" s="1150">
        <f>($S$9+$S$10)*'ARP Timing'!B$16</f>
        <v>1.9374600000000002</v>
      </c>
      <c r="T44" s="1150">
        <f>($S$9+$S$10)*'ARP Timing'!C$16</f>
        <v>1.9374600000000002</v>
      </c>
      <c r="U44" s="1150">
        <f>($S$9+$S$10)*'ARP Timing'!D$16</f>
        <v>1.356222</v>
      </c>
      <c r="V44" s="1150">
        <f>($S$9+$S$10)*'ARP Timing'!E$16</f>
        <v>1.356222</v>
      </c>
    </row>
    <row r="46" spans="1:23" x14ac:dyDescent="0.3">
      <c r="B46" s="1150" t="s">
        <v>830</v>
      </c>
      <c r="D46" s="94" t="s">
        <v>296</v>
      </c>
      <c r="E46" s="94" t="s">
        <v>180</v>
      </c>
      <c r="F46" s="94" t="s">
        <v>181</v>
      </c>
      <c r="G46" s="94" t="s">
        <v>182</v>
      </c>
      <c r="H46" s="94" t="s">
        <v>183</v>
      </c>
      <c r="I46" s="94" t="s">
        <v>184</v>
      </c>
      <c r="J46" s="94" t="s">
        <v>185</v>
      </c>
      <c r="K46" s="94" t="s">
        <v>186</v>
      </c>
      <c r="L46" s="94" t="s">
        <v>187</v>
      </c>
      <c r="M46" s="94" t="s">
        <v>188</v>
      </c>
      <c r="N46" s="94" t="s">
        <v>189</v>
      </c>
      <c r="O46" s="94" t="s">
        <v>190</v>
      </c>
      <c r="P46" s="94" t="s">
        <v>191</v>
      </c>
      <c r="Q46" s="94" t="s">
        <v>175</v>
      </c>
      <c r="R46" s="94" t="s">
        <v>176</v>
      </c>
      <c r="S46" s="94" t="s">
        <v>177</v>
      </c>
      <c r="T46" s="94" t="s">
        <v>818</v>
      </c>
      <c r="U46" s="94" t="s">
        <v>819</v>
      </c>
      <c r="V46" s="94" t="s">
        <v>820</v>
      </c>
    </row>
    <row r="47" spans="1:23" x14ac:dyDescent="0.3">
      <c r="B47" s="33"/>
      <c r="C47" s="1195" t="s">
        <v>359</v>
      </c>
      <c r="D47" s="1197">
        <f t="shared" ref="D47:U47" si="42">SUM(D48:D66)</f>
        <v>0</v>
      </c>
      <c r="E47" s="1197">
        <f t="shared" si="42"/>
        <v>0</v>
      </c>
      <c r="F47" s="1197">
        <f t="shared" si="42"/>
        <v>34.620851999999999</v>
      </c>
      <c r="G47" s="1197">
        <f t="shared" si="42"/>
        <v>50.996274799999995</v>
      </c>
      <c r="H47" s="1197">
        <f t="shared" si="42"/>
        <v>69.350031999999999</v>
      </c>
      <c r="I47" s="1197">
        <f t="shared" si="42"/>
        <v>79.295867999999999</v>
      </c>
      <c r="J47" s="1197">
        <f t="shared" si="42"/>
        <v>80.538927999999999</v>
      </c>
      <c r="K47" s="1197">
        <f t="shared" si="42"/>
        <v>80.122543199999996</v>
      </c>
      <c r="L47" s="1197">
        <f t="shared" si="42"/>
        <v>88.916719999999998</v>
      </c>
      <c r="M47" s="1197">
        <f t="shared" si="42"/>
        <v>92.213943999999998</v>
      </c>
      <c r="N47" s="1197">
        <f t="shared" si="42"/>
        <v>92.213943999999998</v>
      </c>
      <c r="O47" s="1197">
        <f t="shared" si="42"/>
        <v>94.213943999999998</v>
      </c>
      <c r="P47" s="1197">
        <f t="shared" si="42"/>
        <v>98.916719999999998</v>
      </c>
      <c r="Q47" s="1197">
        <f t="shared" si="42"/>
        <v>98.916719999999998</v>
      </c>
      <c r="R47" s="1197">
        <f t="shared" si="42"/>
        <v>99.081581199999988</v>
      </c>
      <c r="S47" s="1197">
        <f t="shared" si="42"/>
        <v>93.146578000000005</v>
      </c>
      <c r="T47" s="1197">
        <f t="shared" si="42"/>
        <v>86.552129999999991</v>
      </c>
      <c r="U47" s="1197">
        <f t="shared" si="42"/>
        <v>86.552129999999991</v>
      </c>
      <c r="V47" s="1197">
        <f>SUM(V48:V66)</f>
        <v>82.265738799999994</v>
      </c>
      <c r="W47" s="1150">
        <f>SUM(G47:V47)/4</f>
        <v>343.32344900000004</v>
      </c>
    </row>
    <row r="48" spans="1:23" x14ac:dyDescent="0.3">
      <c r="A48" s="1150">
        <v>2021</v>
      </c>
      <c r="B48" s="33" t="s">
        <v>828</v>
      </c>
      <c r="C48" s="1195"/>
      <c r="D48" s="1150">
        <f>($D$8)*'ARP Timing'!B17</f>
        <v>0</v>
      </c>
      <c r="E48" s="1150">
        <f>($D$8)*'ARP Timing'!C17</f>
        <v>0</v>
      </c>
      <c r="F48" s="1150">
        <f>($D$8)*'ARP Timing'!D17</f>
        <v>34.620851999999999</v>
      </c>
      <c r="G48" s="1150">
        <f>($D$8)*'ARP Timing'!E17</f>
        <v>45.996274799999995</v>
      </c>
      <c r="H48" s="1150">
        <f>($D$8)*'ARP Timing'!F17</f>
        <v>59.350031999999992</v>
      </c>
      <c r="I48" s="1150">
        <f>($D$8)*'ARP Timing'!G17</f>
        <v>64.295867999999999</v>
      </c>
      <c r="J48" s="1150">
        <f>($D$8)*'ARP Timing'!H17</f>
        <v>49.458359999999999</v>
      </c>
      <c r="K48" s="1150">
        <f>($D$8)*'ARP Timing'!I17</f>
        <v>49.458359999999999</v>
      </c>
      <c r="L48" s="1150">
        <f>($D$8)*'ARP Timing'!J17</f>
        <v>59.350031999999992</v>
      </c>
      <c r="M48" s="1150">
        <f>($D$8)*'ARP Timing'!K17</f>
        <v>59.350031999999992</v>
      </c>
      <c r="N48" s="1150">
        <f>($D$8)*'ARP Timing'!L17</f>
        <v>69.241703999999999</v>
      </c>
      <c r="O48" s="1150">
        <f>($D$8)*'ARP Timing'!M17</f>
        <v>69.241703999999999</v>
      </c>
      <c r="P48" s="1150">
        <f>($D$8)*'ARP Timing'!N17</f>
        <v>59.350031999999992</v>
      </c>
      <c r="Q48" s="1150">
        <f>($D$8)*'ARP Timing'!O17</f>
        <v>59.350031999999992</v>
      </c>
      <c r="R48" s="1150">
        <f>($D$8)*'ARP Timing'!P17</f>
        <v>52.920445199999989</v>
      </c>
      <c r="S48" s="1150">
        <f>($D$8)*'ARP Timing'!Q17</f>
        <v>46.985441999999992</v>
      </c>
      <c r="T48" s="1150">
        <f>($D$8)*'ARP Timing'!R17</f>
        <v>46.985441999999992</v>
      </c>
      <c r="U48" s="1150">
        <f>($D$8)*'ARP Timing'!S17</f>
        <v>46.985441999999992</v>
      </c>
      <c r="V48" s="1150">
        <f>($D$8)*'ARP Timing'!T17</f>
        <v>46.985441999999992</v>
      </c>
    </row>
    <row r="49" spans="1:22" x14ac:dyDescent="0.3">
      <c r="B49" s="33" t="s">
        <v>378</v>
      </c>
      <c r="C49" s="1195"/>
      <c r="E49" s="1150">
        <f>($E$8)*'ARP Timing'!B$17</f>
        <v>0</v>
      </c>
      <c r="F49" s="1150">
        <f>($E$8)*'ARP Timing'!C$16</f>
        <v>0</v>
      </c>
      <c r="G49" s="1150">
        <f>($E$8)*'ARP Timing'!D$16</f>
        <v>0</v>
      </c>
      <c r="H49" s="1150">
        <f>($E$8)*'ARP Timing'!E$16</f>
        <v>0</v>
      </c>
      <c r="I49" s="1150">
        <f>($E$8)*'ARP Timing'!F$16</f>
        <v>0</v>
      </c>
      <c r="J49" s="1150">
        <f>($E$8)*'ARP Timing'!G$16</f>
        <v>0</v>
      </c>
      <c r="K49" s="1150">
        <f>($E$8)*'ARP Timing'!H$16</f>
        <v>0</v>
      </c>
      <c r="L49" s="1150">
        <f>($E$8)*'ARP Timing'!I$16</f>
        <v>0</v>
      </c>
      <c r="M49" s="1150">
        <f>($E$8)*'ARP Timing'!J$16</f>
        <v>0</v>
      </c>
      <c r="N49" s="1150">
        <f>($E$8)*'ARP Timing'!K$16</f>
        <v>0</v>
      </c>
      <c r="O49" s="1150">
        <f>($E$8)*'ARP Timing'!L$16</f>
        <v>0</v>
      </c>
      <c r="P49" s="1150">
        <f>($E$8)*'ARP Timing'!M$16</f>
        <v>0</v>
      </c>
      <c r="Q49" s="1150">
        <f>($E$8)*'ARP Timing'!N$16</f>
        <v>0</v>
      </c>
      <c r="R49" s="1150">
        <f>($E$8)*'ARP Timing'!O$16</f>
        <v>0</v>
      </c>
      <c r="S49" s="1150">
        <f>($E$8)*'ARP Timing'!P$16</f>
        <v>0</v>
      </c>
      <c r="T49" s="1150">
        <f>($E$8)*'ARP Timing'!Q$16</f>
        <v>0</v>
      </c>
      <c r="U49" s="1150">
        <f>($E$8)*'ARP Timing'!R$16</f>
        <v>0</v>
      </c>
      <c r="V49" s="1150">
        <f>($E$8)*'ARP Timing'!S$16</f>
        <v>0</v>
      </c>
    </row>
    <row r="50" spans="1:22" x14ac:dyDescent="0.3">
      <c r="B50" s="33" t="s">
        <v>829</v>
      </c>
      <c r="C50" s="1195"/>
      <c r="F50" s="1150">
        <f>($F$8)*'ARP Timing'!C$17</f>
        <v>0</v>
      </c>
      <c r="G50" s="1150">
        <f>($F$8)*'ARP Timing'!D$17</f>
        <v>0</v>
      </c>
      <c r="H50" s="1150">
        <f>($F$8)*'ARP Timing'!E$17</f>
        <v>0</v>
      </c>
      <c r="I50" s="1150">
        <f>($F$8)*'ARP Timing'!F$17</f>
        <v>0</v>
      </c>
      <c r="J50" s="1150">
        <f>($F$8)*'ARP Timing'!G$17</f>
        <v>0</v>
      </c>
      <c r="K50" s="1150">
        <f>($F$8)*'ARP Timing'!H$17</f>
        <v>0</v>
      </c>
      <c r="L50" s="1150">
        <f>($F$8)*'ARP Timing'!I$17</f>
        <v>0</v>
      </c>
      <c r="M50" s="1150">
        <f>($F$8)*'ARP Timing'!J$17</f>
        <v>0</v>
      </c>
      <c r="N50" s="1150">
        <f>($F$8)*'ARP Timing'!K$17</f>
        <v>0</v>
      </c>
      <c r="O50" s="1150">
        <f>($F$8)*'ARP Timing'!L$17</f>
        <v>0</v>
      </c>
      <c r="P50" s="1150">
        <f>($F$8)*'ARP Timing'!M$17</f>
        <v>0</v>
      </c>
      <c r="Q50" s="1150">
        <f>($F$8)*'ARP Timing'!N$17</f>
        <v>0</v>
      </c>
      <c r="R50" s="1150">
        <f>($F$8)*'ARP Timing'!O$17</f>
        <v>0</v>
      </c>
      <c r="S50" s="1150">
        <f>($F$8)*'ARP Timing'!P$17</f>
        <v>0</v>
      </c>
      <c r="T50" s="1150">
        <f>($F$8)*'ARP Timing'!Q$17</f>
        <v>0</v>
      </c>
      <c r="U50" s="1150">
        <f>($F$8)*'ARP Timing'!R$17</f>
        <v>0</v>
      </c>
      <c r="V50" s="1150">
        <f>($F$8)*'ARP Timing'!S$17</f>
        <v>0</v>
      </c>
    </row>
    <row r="51" spans="1:22" x14ac:dyDescent="0.3">
      <c r="A51" s="1150">
        <v>2022</v>
      </c>
      <c r="B51" s="33" t="s">
        <v>247</v>
      </c>
      <c r="C51" s="1195"/>
      <c r="G51" s="1150">
        <f>($G$8)*'ARP Timing'!D$17</f>
        <v>0</v>
      </c>
      <c r="H51" s="1150">
        <f>($G$8)*'ARP Timing'!E$17</f>
        <v>0</v>
      </c>
      <c r="I51" s="1150">
        <f>($G$8)*'ARP Timing'!F$17</f>
        <v>0</v>
      </c>
      <c r="J51" s="1150">
        <f>($G$8)*'ARP Timing'!G$17</f>
        <v>0</v>
      </c>
      <c r="K51" s="1150">
        <f>($G$8)*'ARP Timing'!H$17</f>
        <v>0</v>
      </c>
      <c r="L51" s="1150">
        <f>($G$8)*'ARP Timing'!I$17</f>
        <v>0</v>
      </c>
      <c r="M51" s="1150">
        <f>($G$8)*'ARP Timing'!J$17</f>
        <v>0</v>
      </c>
      <c r="N51" s="1150">
        <f>($G$8)*'ARP Timing'!K$17</f>
        <v>0</v>
      </c>
      <c r="O51" s="1150">
        <f>($G$8)*'ARP Timing'!L$17</f>
        <v>0</v>
      </c>
      <c r="P51" s="1150">
        <f>($G$8)*'ARP Timing'!M$17</f>
        <v>0</v>
      </c>
      <c r="Q51" s="1150">
        <f>($G$8)*'ARP Timing'!N$17</f>
        <v>0</v>
      </c>
      <c r="R51" s="1150">
        <f>($G$8)*'ARP Timing'!O$17</f>
        <v>0</v>
      </c>
      <c r="S51" s="1150">
        <f>($G$8)*'ARP Timing'!P$17</f>
        <v>0</v>
      </c>
      <c r="T51" s="1150">
        <f>($G$8)*'ARP Timing'!Q$17</f>
        <v>0</v>
      </c>
      <c r="U51" s="1150">
        <f>($G$8)*'ARP Timing'!R$17</f>
        <v>0</v>
      </c>
      <c r="V51" s="1150">
        <f>($G$8)*'ARP Timing'!S$17</f>
        <v>0</v>
      </c>
    </row>
    <row r="52" spans="1:22" x14ac:dyDescent="0.3">
      <c r="B52" s="33" t="s">
        <v>248</v>
      </c>
      <c r="C52" s="1195"/>
      <c r="H52" s="1150">
        <f>($H$8)*'ARP Timing'!B$17</f>
        <v>0</v>
      </c>
      <c r="I52" s="1150">
        <f>($H$8)*'ARP Timing'!C$17</f>
        <v>0</v>
      </c>
      <c r="J52" s="1150">
        <f>($H$8)*'ARP Timing'!D$17</f>
        <v>23.080568000000003</v>
      </c>
      <c r="K52" s="1150">
        <f>($H$8)*'ARP Timing'!E$17</f>
        <v>30.6641832</v>
      </c>
      <c r="L52" s="1150">
        <f>($H$8)*'ARP Timing'!F$17</f>
        <v>39.566687999999999</v>
      </c>
      <c r="M52" s="1150">
        <f>($H$8)*'ARP Timing'!G$17</f>
        <v>42.863911999999999</v>
      </c>
      <c r="N52" s="1150">
        <f>($H$8)*'ARP Timing'!H$17</f>
        <v>32.972239999999999</v>
      </c>
      <c r="O52" s="1150">
        <f>($H$8)*'ARP Timing'!I$17</f>
        <v>32.972239999999999</v>
      </c>
      <c r="P52" s="1150">
        <f>($H$8)*'ARP Timing'!J$17</f>
        <v>39.566687999999999</v>
      </c>
      <c r="Q52" s="1150">
        <f>($H$8)*'ARP Timing'!K$17</f>
        <v>39.566687999999999</v>
      </c>
      <c r="R52" s="1150">
        <f>($H$8)*'ARP Timing'!L$17</f>
        <v>46.161136000000006</v>
      </c>
      <c r="S52" s="1150">
        <f>($H$8)*'ARP Timing'!M$17</f>
        <v>46.161136000000006</v>
      </c>
      <c r="T52" s="1150">
        <f>($H$8)*'ARP Timing'!N$17</f>
        <v>39.566687999999999</v>
      </c>
      <c r="U52" s="1150">
        <f>($H$8)*'ARP Timing'!O$17</f>
        <v>39.566687999999999</v>
      </c>
      <c r="V52" s="1150">
        <f>($H$8)*'ARP Timing'!P$17</f>
        <v>35.280296800000002</v>
      </c>
    </row>
    <row r="53" spans="1:22" x14ac:dyDescent="0.3">
      <c r="B53" s="33" t="s">
        <v>378</v>
      </c>
      <c r="C53" s="1195"/>
      <c r="H53" s="1195"/>
      <c r="I53" s="1150">
        <f>($I$8)*'ARP Timing'!B$17</f>
        <v>0</v>
      </c>
      <c r="J53" s="1150">
        <f>($I$8)*'ARP Timing'!C$17</f>
        <v>0</v>
      </c>
      <c r="K53" s="1150">
        <f>($I$8)*'ARP Timing'!D$17</f>
        <v>0</v>
      </c>
      <c r="L53" s="1150">
        <f>($I$8)*'ARP Timing'!E$17</f>
        <v>0</v>
      </c>
      <c r="M53" s="1150">
        <f>($I$8)*'ARP Timing'!F$17</f>
        <v>0</v>
      </c>
      <c r="N53" s="1150">
        <f>($I$8)*'ARP Timing'!G$17</f>
        <v>0</v>
      </c>
      <c r="O53" s="1150">
        <f>($I$8)*'ARP Timing'!H$17</f>
        <v>0</v>
      </c>
      <c r="P53" s="1150">
        <f>($I$8)*'ARP Timing'!I$17</f>
        <v>0</v>
      </c>
      <c r="Q53" s="1150">
        <f>($I$8)*'ARP Timing'!J$17</f>
        <v>0</v>
      </c>
      <c r="R53" s="1150">
        <f>($I$8)*'ARP Timing'!K$17</f>
        <v>0</v>
      </c>
      <c r="S53" s="1150">
        <f>($I$8)*'ARP Timing'!L$17</f>
        <v>0</v>
      </c>
      <c r="T53" s="1150">
        <f>($I$8)*'ARP Timing'!M$17</f>
        <v>0</v>
      </c>
      <c r="U53" s="1150">
        <f>($I$8)*'ARP Timing'!N$17</f>
        <v>0</v>
      </c>
      <c r="V53" s="1150">
        <f>($I$8)*'ARP Timing'!O$17</f>
        <v>0</v>
      </c>
    </row>
    <row r="54" spans="1:22" x14ac:dyDescent="0.3">
      <c r="B54" s="33" t="s">
        <v>829</v>
      </c>
      <c r="C54" s="1195"/>
      <c r="H54" s="1195"/>
    </row>
    <row r="55" spans="1:22" x14ac:dyDescent="0.3">
      <c r="A55" s="1150">
        <v>2023</v>
      </c>
      <c r="B55" s="33" t="s">
        <v>247</v>
      </c>
      <c r="C55" s="1195"/>
      <c r="H55" s="1195"/>
    </row>
    <row r="56" spans="1:22" x14ac:dyDescent="0.3">
      <c r="B56" s="33" t="s">
        <v>248</v>
      </c>
      <c r="C56" s="1195"/>
      <c r="H56" s="1195"/>
    </row>
    <row r="57" spans="1:22" x14ac:dyDescent="0.3">
      <c r="B57" s="33" t="s">
        <v>378</v>
      </c>
      <c r="C57" s="1195"/>
      <c r="H57" s="1195"/>
    </row>
    <row r="58" spans="1:22" x14ac:dyDescent="0.3">
      <c r="B58" s="33" t="s">
        <v>829</v>
      </c>
      <c r="C58" s="1195"/>
      <c r="H58" s="1195"/>
    </row>
    <row r="59" spans="1:22" x14ac:dyDescent="0.3">
      <c r="A59" s="1150">
        <v>2024</v>
      </c>
      <c r="B59" s="33" t="s">
        <v>247</v>
      </c>
      <c r="C59" s="1195"/>
      <c r="H59" s="1195"/>
    </row>
    <row r="60" spans="1:22" x14ac:dyDescent="0.3">
      <c r="B60" s="33" t="s">
        <v>248</v>
      </c>
      <c r="C60" s="1195"/>
      <c r="H60" s="1195"/>
    </row>
    <row r="61" spans="1:22" x14ac:dyDescent="0.3">
      <c r="B61" s="33" t="s">
        <v>378</v>
      </c>
      <c r="C61" s="1195"/>
      <c r="H61" s="1195"/>
    </row>
    <row r="62" spans="1:22" x14ac:dyDescent="0.3">
      <c r="B62" s="33" t="s">
        <v>829</v>
      </c>
      <c r="C62" s="1195"/>
      <c r="H62" s="1195"/>
    </row>
    <row r="63" spans="1:22" x14ac:dyDescent="0.3">
      <c r="A63" t="s">
        <v>953</v>
      </c>
      <c r="B63" s="33"/>
      <c r="C63" s="1195"/>
      <c r="G63">
        <v>5</v>
      </c>
      <c r="H63" s="1195">
        <v>10</v>
      </c>
      <c r="I63">
        <v>15</v>
      </c>
      <c r="J63">
        <v>8</v>
      </c>
      <c r="K63">
        <v>0</v>
      </c>
      <c r="L63">
        <v>-10</v>
      </c>
      <c r="M63">
        <v>-10</v>
      </c>
      <c r="N63">
        <v>-10</v>
      </c>
      <c r="O63">
        <v>-8</v>
      </c>
    </row>
    <row r="64" spans="1:22" x14ac:dyDescent="0.3">
      <c r="B64" s="33"/>
      <c r="C64" s="1195"/>
      <c r="H64" s="1195"/>
    </row>
    <row r="65" spans="2:24" x14ac:dyDescent="0.3">
      <c r="B65" s="33"/>
      <c r="C65" s="1195"/>
      <c r="H65" s="1195"/>
    </row>
    <row r="66" spans="2:24" x14ac:dyDescent="0.3">
      <c r="B66" s="33"/>
      <c r="C66" s="1195"/>
      <c r="H66" s="1195"/>
    </row>
    <row r="67" spans="2:24" x14ac:dyDescent="0.3">
      <c r="B67" s="33"/>
      <c r="C67" s="1195"/>
      <c r="H67" s="1195"/>
    </row>
    <row r="68" spans="2:24" x14ac:dyDescent="0.3">
      <c r="B68" s="33"/>
      <c r="C68" s="1195"/>
      <c r="H68" s="1195"/>
    </row>
    <row r="69" spans="2:24" x14ac:dyDescent="0.3">
      <c r="B69" s="33"/>
      <c r="C69" s="1195"/>
      <c r="H69" s="1195"/>
    </row>
    <row r="70" spans="2:24" x14ac:dyDescent="0.3">
      <c r="B70" s="33"/>
      <c r="C70" s="1195"/>
      <c r="H70" s="1195"/>
    </row>
    <row r="71" spans="2:24" x14ac:dyDescent="0.3">
      <c r="B71" s="33"/>
      <c r="C71" s="1195"/>
      <c r="H71" s="1195"/>
    </row>
    <row r="72" spans="2:24" x14ac:dyDescent="0.3">
      <c r="B72" s="33"/>
      <c r="C72" s="1195"/>
      <c r="H72" s="1195"/>
    </row>
    <row r="73" spans="2:24" x14ac:dyDescent="0.3">
      <c r="B73" s="33" t="s">
        <v>831</v>
      </c>
      <c r="C73" s="1193">
        <v>2021</v>
      </c>
      <c r="D73" s="1193">
        <v>2022</v>
      </c>
      <c r="E73" s="1193">
        <v>2023</v>
      </c>
      <c r="F73" s="1193">
        <v>2024</v>
      </c>
      <c r="G73" s="1193">
        <v>2025</v>
      </c>
      <c r="H73" s="1195"/>
    </row>
    <row r="74" spans="2:24" x14ac:dyDescent="0.3">
      <c r="B74" s="33" t="s">
        <v>728</v>
      </c>
      <c r="C74" s="1198">
        <f t="shared" ref="C74:C85" si="43">SUM(C4:E4)/4</f>
        <v>0.77600000000001046</v>
      </c>
      <c r="D74" s="1198">
        <f t="shared" ref="D74:D85" si="44">SUM(F4:I4)/4</f>
        <v>19.719000000000005</v>
      </c>
      <c r="E74" s="1198">
        <f t="shared" ref="E74:E85" si="45">SUM(J4:M4)/4</f>
        <v>1.4159999999999999</v>
      </c>
      <c r="F74" s="1198">
        <f t="shared" ref="F74:F85" si="46">SUM(N4:Q4)/4</f>
        <v>1.4790000000000001</v>
      </c>
      <c r="G74" s="1198">
        <f t="shared" ref="G74:G85" si="47">SUM(R4:U4)/4</f>
        <v>1.63</v>
      </c>
    </row>
    <row r="75" spans="2:24" x14ac:dyDescent="0.3">
      <c r="B75" s="33" t="s">
        <v>729</v>
      </c>
      <c r="C75" s="1198">
        <f t="shared" si="43"/>
        <v>19.722000000000016</v>
      </c>
      <c r="D75" s="1198">
        <f t="shared" si="44"/>
        <v>52.756999999999998</v>
      </c>
      <c r="E75" s="1198">
        <f t="shared" si="45"/>
        <v>12</v>
      </c>
      <c r="F75" s="1198">
        <f t="shared" si="46"/>
        <v>4.2219999999999995</v>
      </c>
      <c r="G75" s="1198">
        <f t="shared" si="47"/>
        <v>2.3719999999999999</v>
      </c>
      <c r="H75" s="1195"/>
    </row>
    <row r="76" spans="2:24" x14ac:dyDescent="0.3">
      <c r="B76" s="33" t="s">
        <v>52</v>
      </c>
      <c r="C76" s="1198">
        <f t="shared" si="43"/>
        <v>81.643000000000001</v>
      </c>
      <c r="D76" s="1198">
        <f t="shared" si="44"/>
        <v>110.24799999999999</v>
      </c>
      <c r="E76" s="1198">
        <f t="shared" si="45"/>
        <v>12.726000000000001</v>
      </c>
      <c r="F76" s="1198">
        <f t="shared" si="46"/>
        <v>1.365</v>
      </c>
      <c r="G76" s="1198">
        <f t="shared" si="47"/>
        <v>-0.90100000000000025</v>
      </c>
      <c r="H76" s="1195"/>
      <c r="O76" s="33"/>
      <c r="P76" s="33"/>
      <c r="Q76" s="33"/>
      <c r="R76" s="33"/>
      <c r="S76" s="1199"/>
      <c r="T76" s="1199"/>
      <c r="U76" s="1199"/>
      <c r="V76" s="14"/>
      <c r="W76" s="33"/>
      <c r="X76" s="33"/>
    </row>
    <row r="77" spans="2:24" x14ac:dyDescent="0.3">
      <c r="B77" s="33" t="s">
        <v>131</v>
      </c>
      <c r="C77" s="1198">
        <f t="shared" si="43"/>
        <v>7.798</v>
      </c>
      <c r="D77" s="1198">
        <f t="shared" si="44"/>
        <v>7.9489999999999998</v>
      </c>
      <c r="E77" s="1198">
        <f t="shared" si="45"/>
        <v>4.7519999999999998</v>
      </c>
      <c r="F77" s="1198">
        <f t="shared" si="46"/>
        <v>4.637999999999999</v>
      </c>
      <c r="G77" s="1198">
        <f t="shared" si="47"/>
        <v>1.8800000000000001</v>
      </c>
      <c r="H77" s="1195"/>
    </row>
    <row r="78" spans="2:24" x14ac:dyDescent="0.3">
      <c r="B78" s="1196" t="s">
        <v>395</v>
      </c>
      <c r="C78" s="1198">
        <f t="shared" si="43"/>
        <v>247.29179999999997</v>
      </c>
      <c r="D78" s="1198">
        <f t="shared" si="44"/>
        <v>164.8612</v>
      </c>
      <c r="E78" s="1198">
        <f t="shared" si="45"/>
        <v>0</v>
      </c>
      <c r="F78" s="1198">
        <f t="shared" si="46"/>
        <v>0</v>
      </c>
      <c r="G78" s="1198">
        <f t="shared" si="47"/>
        <v>0</v>
      </c>
      <c r="H78" s="1195"/>
      <c r="R78" s="1163"/>
      <c r="S78" s="1163"/>
    </row>
    <row r="79" spans="2:24" x14ac:dyDescent="0.3">
      <c r="B79" s="1196" t="s">
        <v>150</v>
      </c>
      <c r="C79" s="1198">
        <f t="shared" si="43"/>
        <v>12.347</v>
      </c>
      <c r="D79" s="1198">
        <f t="shared" si="44"/>
        <v>46.79</v>
      </c>
      <c r="E79" s="1198">
        <f t="shared" si="45"/>
        <v>38.595999999999997</v>
      </c>
      <c r="F79" s="1198">
        <f t="shared" si="46"/>
        <v>31.911000000000001</v>
      </c>
      <c r="G79" s="1198">
        <f t="shared" si="47"/>
        <v>23.099</v>
      </c>
      <c r="H79" s="1195"/>
      <c r="R79" s="1163"/>
      <c r="S79" s="1163"/>
    </row>
    <row r="80" spans="2:24" x14ac:dyDescent="0.3">
      <c r="B80" s="1196" t="s">
        <v>411</v>
      </c>
      <c r="C80" s="1198">
        <f t="shared" si="43"/>
        <v>29.628</v>
      </c>
      <c r="D80" s="1198">
        <f t="shared" si="44"/>
        <v>35.671000000000006</v>
      </c>
      <c r="E80" s="1198">
        <f t="shared" si="45"/>
        <v>24.216000000000001</v>
      </c>
      <c r="F80" s="1198">
        <f t="shared" si="46"/>
        <v>9.6430000000000007</v>
      </c>
      <c r="G80" s="1198">
        <f t="shared" si="47"/>
        <v>4.5789999999999997</v>
      </c>
      <c r="H80" s="1195"/>
      <c r="R80" s="1163"/>
      <c r="S80" s="1163"/>
    </row>
    <row r="81" spans="2:19" x14ac:dyDescent="0.3">
      <c r="B81" s="14" t="s">
        <v>159</v>
      </c>
      <c r="C81" s="1198">
        <f t="shared" si="43"/>
        <v>25.75</v>
      </c>
      <c r="D81" s="1198">
        <f t="shared" si="44"/>
        <v>0</v>
      </c>
      <c r="E81" s="1198">
        <f t="shared" si="45"/>
        <v>0</v>
      </c>
      <c r="F81" s="1198">
        <f t="shared" si="46"/>
        <v>0</v>
      </c>
      <c r="G81" s="1198">
        <f t="shared" si="47"/>
        <v>0</v>
      </c>
      <c r="H81" s="1195"/>
      <c r="R81" s="1163"/>
      <c r="S81" s="1163"/>
    </row>
    <row r="82" spans="2:19" x14ac:dyDescent="0.3">
      <c r="B82" s="33" t="s">
        <v>109</v>
      </c>
      <c r="C82" s="1198">
        <f t="shared" si="43"/>
        <v>31.939</v>
      </c>
      <c r="D82" s="1198">
        <f t="shared" si="44"/>
        <v>56.413000000000004</v>
      </c>
      <c r="E82" s="1198">
        <f t="shared" si="45"/>
        <v>15.652999999999999</v>
      </c>
      <c r="F82" s="1198">
        <f t="shared" si="46"/>
        <v>3.9320000000000004</v>
      </c>
      <c r="G82" s="1198">
        <f t="shared" si="47"/>
        <v>-0.74299999999999988</v>
      </c>
      <c r="R82" s="1163"/>
      <c r="S82" s="1163"/>
    </row>
    <row r="83" spans="2:19" x14ac:dyDescent="0.3">
      <c r="B83" s="1150" t="s">
        <v>822</v>
      </c>
      <c r="C83" s="1198">
        <f t="shared" si="43"/>
        <v>1.02</v>
      </c>
      <c r="D83" s="1198">
        <f t="shared" si="44"/>
        <v>1.5299999999999998</v>
      </c>
      <c r="E83" s="1198">
        <f t="shared" si="45"/>
        <v>0</v>
      </c>
      <c r="F83" s="1198">
        <f t="shared" si="46"/>
        <v>0</v>
      </c>
      <c r="G83" s="1198">
        <f t="shared" si="47"/>
        <v>0</v>
      </c>
      <c r="R83" s="1163"/>
      <c r="S83" s="1163"/>
    </row>
    <row r="84" spans="2:19" x14ac:dyDescent="0.3">
      <c r="B84" s="1150" t="s">
        <v>823</v>
      </c>
      <c r="C84" s="1198">
        <f t="shared" si="43"/>
        <v>0.67999999999999994</v>
      </c>
      <c r="D84" s="1198">
        <f t="shared" si="44"/>
        <v>1.02</v>
      </c>
      <c r="E84" s="1198">
        <f t="shared" si="45"/>
        <v>0</v>
      </c>
      <c r="F84" s="1198">
        <f t="shared" si="46"/>
        <v>0</v>
      </c>
      <c r="G84" s="1198">
        <f t="shared" si="47"/>
        <v>0</v>
      </c>
      <c r="R84" s="1163"/>
      <c r="S84" s="1163"/>
    </row>
    <row r="85" spans="2:19" x14ac:dyDescent="0.3">
      <c r="B85" s="1150" t="s">
        <v>521</v>
      </c>
      <c r="C85" s="1198">
        <f t="shared" si="43"/>
        <v>1.6999999999999997</v>
      </c>
      <c r="D85" s="1198">
        <f t="shared" si="44"/>
        <v>2.5499999999999998</v>
      </c>
      <c r="E85" s="1198">
        <f t="shared" si="45"/>
        <v>0</v>
      </c>
      <c r="F85" s="1198">
        <f t="shared" si="46"/>
        <v>0</v>
      </c>
      <c r="G85" s="1198">
        <f t="shared" si="47"/>
        <v>0</v>
      </c>
      <c r="R85" s="1163"/>
      <c r="S85" s="1163"/>
    </row>
    <row r="86" spans="2:19" x14ac:dyDescent="0.3">
      <c r="C86" s="1193">
        <v>2021</v>
      </c>
      <c r="D86" s="1193">
        <v>2022</v>
      </c>
      <c r="E86" s="1193">
        <v>2023</v>
      </c>
      <c r="F86" s="1193">
        <v>2024</v>
      </c>
      <c r="G86" s="1193">
        <v>2025</v>
      </c>
      <c r="R86" s="1163"/>
      <c r="S86" s="1163"/>
    </row>
    <row r="87" spans="2:19" x14ac:dyDescent="0.3">
      <c r="B87" s="1150" t="s">
        <v>832</v>
      </c>
      <c r="C87" s="1197">
        <f>SUM(C83:C85)</f>
        <v>3.3999999999999995</v>
      </c>
      <c r="D87" s="1197">
        <f t="shared" ref="D87:G87" si="48">SUM(D83:D85)</f>
        <v>5.0999999999999996</v>
      </c>
      <c r="E87" s="1197">
        <f t="shared" si="48"/>
        <v>0</v>
      </c>
      <c r="F87" s="1197">
        <f t="shared" si="48"/>
        <v>0</v>
      </c>
      <c r="G87" s="1197">
        <f t="shared" si="48"/>
        <v>0</v>
      </c>
      <c r="R87" s="1163"/>
      <c r="S87" s="1163"/>
    </row>
    <row r="90" spans="2:19" x14ac:dyDescent="0.3">
      <c r="B90" s="1150" t="s">
        <v>728</v>
      </c>
      <c r="C90" s="1198">
        <v>26.636000000000024</v>
      </c>
      <c r="D90" s="1198">
        <v>98.978999999999999</v>
      </c>
      <c r="E90" s="1198">
        <v>2.1159999999999997</v>
      </c>
      <c r="F90" s="1198">
        <v>2.1789999999999998</v>
      </c>
      <c r="G90" s="1198">
        <v>2.33</v>
      </c>
      <c r="H90" s="1198"/>
      <c r="I90" s="1198"/>
      <c r="J90" s="1198"/>
      <c r="K90" s="1198"/>
      <c r="L90" s="1198"/>
      <c r="M90" s="1198"/>
    </row>
    <row r="91" spans="2:19" x14ac:dyDescent="0.3">
      <c r="B91" s="1150" t="s">
        <v>729</v>
      </c>
      <c r="C91" s="1198">
        <v>47.722000000000016</v>
      </c>
      <c r="D91" s="1198">
        <v>52.756999999999998</v>
      </c>
      <c r="E91" s="1198">
        <v>12</v>
      </c>
      <c r="F91" s="1198">
        <v>4.2219999999999995</v>
      </c>
      <c r="G91" s="1198">
        <v>2.3719999999999999</v>
      </c>
      <c r="H91" s="1198"/>
      <c r="I91" s="1198"/>
      <c r="J91" s="1198"/>
      <c r="K91" s="1198"/>
      <c r="L91" s="1198"/>
      <c r="M91" s="1198"/>
    </row>
    <row r="92" spans="2:19" x14ac:dyDescent="0.3">
      <c r="B92" s="1150" t="s">
        <v>52</v>
      </c>
      <c r="C92" s="1198">
        <v>81.842999999999989</v>
      </c>
      <c r="D92" s="1198">
        <v>110.24799999999999</v>
      </c>
      <c r="E92" s="1198">
        <v>12.726000000000001</v>
      </c>
      <c r="F92" s="1198">
        <v>1.365</v>
      </c>
      <c r="G92" s="1198">
        <v>-0.90100000000000025</v>
      </c>
      <c r="H92" s="1198"/>
      <c r="I92" s="1198"/>
      <c r="J92" s="1198"/>
      <c r="K92" s="1198"/>
      <c r="L92" s="1198"/>
      <c r="M92" s="1198"/>
    </row>
    <row r="93" spans="2:19" x14ac:dyDescent="0.3">
      <c r="B93" s="1150" t="s">
        <v>131</v>
      </c>
      <c r="C93" s="1198">
        <v>7.798</v>
      </c>
      <c r="D93" s="1198">
        <v>7.9489999999999998</v>
      </c>
      <c r="E93" s="1198">
        <v>4.7519999999999998</v>
      </c>
      <c r="F93" s="1198">
        <v>4.637999999999999</v>
      </c>
      <c r="G93" s="1198">
        <v>1.8800000000000001</v>
      </c>
      <c r="H93" s="1198"/>
      <c r="I93" s="1198"/>
      <c r="J93" s="1198"/>
      <c r="K93" s="1198"/>
      <c r="L93" s="1198"/>
      <c r="M93" s="1198"/>
    </row>
    <row r="94" spans="2:19" x14ac:dyDescent="0.3">
      <c r="B94" s="1150" t="s">
        <v>395</v>
      </c>
      <c r="C94" s="1198">
        <v>283.95749999999998</v>
      </c>
      <c r="D94" s="1198">
        <v>77.092500000000001</v>
      </c>
      <c r="E94" s="1198">
        <v>1</v>
      </c>
      <c r="F94" s="1198">
        <v>0</v>
      </c>
      <c r="G94" s="1198">
        <v>0</v>
      </c>
      <c r="H94" s="1198"/>
      <c r="I94" s="1198"/>
      <c r="J94" s="1198"/>
      <c r="K94" s="1198"/>
      <c r="L94" s="1198"/>
      <c r="M94" s="1198"/>
    </row>
    <row r="95" spans="2:19" x14ac:dyDescent="0.3">
      <c r="B95" s="1150" t="s">
        <v>150</v>
      </c>
      <c r="C95" s="1198">
        <v>12.347</v>
      </c>
      <c r="D95" s="1198">
        <v>46.79</v>
      </c>
      <c r="E95" s="1198">
        <v>38.595999999999997</v>
      </c>
      <c r="F95" s="1198">
        <v>31.911000000000001</v>
      </c>
      <c r="G95" s="1198">
        <v>23.099</v>
      </c>
      <c r="H95" s="1198"/>
      <c r="I95" s="1198"/>
      <c r="J95" s="1198"/>
      <c r="K95" s="1198"/>
      <c r="L95" s="1198"/>
      <c r="M95" s="1198"/>
    </row>
    <row r="96" spans="2:19" x14ac:dyDescent="0.3">
      <c r="B96" s="1150" t="s">
        <v>411</v>
      </c>
      <c r="C96" s="1198">
        <v>2.286</v>
      </c>
      <c r="D96" s="1198">
        <v>4.6049999999999995</v>
      </c>
      <c r="E96" s="1198">
        <v>1.349</v>
      </c>
      <c r="F96" s="1198">
        <v>0.441</v>
      </c>
      <c r="G96" s="1198">
        <v>0.313</v>
      </c>
      <c r="H96" s="1198"/>
      <c r="I96" s="1198"/>
      <c r="J96" s="1198"/>
      <c r="K96" s="1198"/>
      <c r="L96" s="1198"/>
      <c r="M96" s="1198"/>
    </row>
    <row r="97" spans="2:13" x14ac:dyDescent="0.3">
      <c r="B97" s="1150" t="s">
        <v>159</v>
      </c>
      <c r="C97" s="1198">
        <v>25.75</v>
      </c>
      <c r="D97" s="1198">
        <v>0</v>
      </c>
      <c r="E97" s="1198">
        <v>0</v>
      </c>
      <c r="F97" s="1198">
        <v>0</v>
      </c>
      <c r="G97" s="1198">
        <v>0</v>
      </c>
      <c r="H97" s="1198"/>
      <c r="I97" s="1198"/>
      <c r="J97" s="1198"/>
      <c r="K97" s="1198"/>
      <c r="L97" s="1198"/>
      <c r="M97" s="1198"/>
    </row>
    <row r="98" spans="2:13" x14ac:dyDescent="0.3">
      <c r="B98" s="1150" t="s">
        <v>109</v>
      </c>
      <c r="C98" s="1198">
        <v>60.441000000000003</v>
      </c>
      <c r="D98" s="1198">
        <v>91.678999999999988</v>
      </c>
      <c r="E98" s="1198">
        <v>41.220000000000006</v>
      </c>
      <c r="F98" s="1198">
        <v>14.004000000000003</v>
      </c>
      <c r="G98" s="1198">
        <v>3.8530000000000006</v>
      </c>
      <c r="H98" s="1198"/>
      <c r="I98" s="1198"/>
      <c r="J98" s="1198"/>
      <c r="K98" s="1198"/>
      <c r="L98" s="1198"/>
      <c r="M98" s="1198"/>
    </row>
    <row r="99" spans="2:13" x14ac:dyDescent="0.3">
      <c r="C99" s="1193">
        <v>3.4</v>
      </c>
      <c r="D99" s="1193">
        <v>5.0999999999999996</v>
      </c>
      <c r="E99" s="1193">
        <v>0</v>
      </c>
      <c r="F99" s="1193">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0.77734375" defaultRowHeight="14.4" x14ac:dyDescent="0.3"/>
  <sheetData>
    <row r="1" spans="1:12" x14ac:dyDescent="0.3">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3">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3">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3">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3">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3">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3">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3">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3">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3">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3">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3">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3">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3">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3">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3">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3">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3">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3">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3">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3">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3">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3">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3">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3">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3">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3">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3">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3">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3">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3">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3">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3">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3">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3">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3">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3">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3">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3">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3">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3">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3">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3">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3">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3">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3">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3">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3">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3">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3">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3">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3">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3">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3">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3">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3">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3">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3">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3">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3">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3">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3">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3">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3">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3">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3">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3">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3">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3">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3">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3">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3">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3">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3">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3">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3">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3">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3">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3">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3">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3">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3">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3">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3">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3">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3">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3">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3">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3">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3">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3">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3">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3">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3">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3">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3">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3">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3">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3">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3">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3">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3">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3">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3">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3">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3">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3">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3">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3">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3">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3">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3">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3">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3">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3">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3">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3">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3">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3">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3">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3">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3">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3">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3">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3">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3">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3">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3">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3">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3">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3">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3">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3">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3">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3">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3">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3">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3">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3">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3">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3">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3">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3">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3">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3">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3">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3">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3">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3">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3">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3">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3">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3">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3">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3">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3">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3">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3">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3">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3">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3">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3">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3">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3">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3">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3">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3">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3">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3">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3">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3">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3">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3">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3">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3">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3">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3">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3">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3">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3">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3">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3">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3">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3">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3">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3">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3">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3">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3">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3">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3">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3">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3">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3">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3">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3">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3">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3">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3">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3">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3">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3">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3">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3">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3">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3">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3">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3">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3">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3">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3">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3">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3">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3">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3">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3">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3">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3">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3">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3">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3">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3">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3">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3">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3">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3">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3">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3">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3">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3">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3">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3">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3">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3">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3">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3">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3">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3">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3">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3">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3">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3">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3">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3">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3">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3">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3">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3">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3">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3">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3">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3">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7773437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934</v>
      </c>
      <c r="B2" s="42" t="s">
        <v>978</v>
      </c>
      <c r="C2" s="42" t="s">
        <v>979</v>
      </c>
      <c r="D2" s="38" t="s">
        <v>993</v>
      </c>
    </row>
    <row r="3" spans="1:4" ht="63.75" customHeight="1" x14ac:dyDescent="0.3">
      <c r="A3" s="19" t="s">
        <v>79</v>
      </c>
      <c r="B3" s="37" t="s">
        <v>40</v>
      </c>
      <c r="C3" s="37" t="s">
        <v>41</v>
      </c>
      <c r="D3" s="39" t="s">
        <v>993</v>
      </c>
    </row>
    <row r="4" spans="1:4" ht="137.25" customHeight="1" x14ac:dyDescent="0.3">
      <c r="A4" s="47" t="s">
        <v>80</v>
      </c>
      <c r="B4" s="37" t="s">
        <v>977</v>
      </c>
      <c r="C4" s="14" t="s">
        <v>936</v>
      </c>
      <c r="D4" s="39"/>
    </row>
    <row r="5" spans="1:4" ht="29.25" customHeight="1" x14ac:dyDescent="0.3">
      <c r="A5" s="47" t="s">
        <v>81</v>
      </c>
      <c r="B5" s="48" t="s">
        <v>82</v>
      </c>
      <c r="C5" s="35" t="s">
        <v>83</v>
      </c>
      <c r="D5" s="39"/>
    </row>
    <row r="6" spans="1:4" ht="43.35" customHeight="1" x14ac:dyDescent="0.3">
      <c r="A6" s="21" t="s">
        <v>84</v>
      </c>
      <c r="B6" s="43" t="s">
        <v>938</v>
      </c>
      <c r="C6" s="36" t="s">
        <v>937</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77734375" defaultRowHeight="14.4" x14ac:dyDescent="0.3"/>
  <cols>
    <col min="1" max="213" width="11.77734375" customWidth="1"/>
  </cols>
  <sheetData>
    <row r="1" spans="1:213" x14ac:dyDescent="0.3">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3">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26145</v>
      </c>
    </row>
    <row r="3" spans="1:213" x14ac:dyDescent="0.3">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20187.5</v>
      </c>
    </row>
    <row r="4" spans="1:213" x14ac:dyDescent="0.3">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17762.7</v>
      </c>
    </row>
    <row r="6" spans="1:213" x14ac:dyDescent="0.3">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14226.8</v>
      </c>
    </row>
    <row r="7" spans="1:213" x14ac:dyDescent="0.3">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124.88800000000001</v>
      </c>
    </row>
    <row r="8" spans="1:213" x14ac:dyDescent="0.3">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123.316</v>
      </c>
    </row>
    <row r="9" spans="1:213" x14ac:dyDescent="0.3">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139.19499999999999</v>
      </c>
    </row>
    <row r="10" spans="1:213" x14ac:dyDescent="0.3">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138.47300000000001</v>
      </c>
    </row>
    <row r="11" spans="1:213" x14ac:dyDescent="0.3">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793.3</v>
      </c>
    </row>
    <row r="14" spans="1:213" x14ac:dyDescent="0.3">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3925.9</v>
      </c>
    </row>
    <row r="16" spans="1:213" x14ac:dyDescent="0.3">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3232.5</v>
      </c>
    </row>
    <row r="18" spans="1:213" x14ac:dyDescent="0.3">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1785.5</v>
      </c>
    </row>
    <row r="19" spans="1:213" x14ac:dyDescent="0.3">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row>
    <row r="20" spans="1:213" x14ac:dyDescent="0.3">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4572.5</v>
      </c>
    </row>
    <row r="21" spans="1:213" x14ac:dyDescent="0.3">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1727.7</v>
      </c>
    </row>
    <row r="22" spans="1:213" x14ac:dyDescent="0.3">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124.854</v>
      </c>
    </row>
    <row r="23" spans="1:213" x14ac:dyDescent="0.3">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2878.7</v>
      </c>
    </row>
    <row r="25" spans="1:213" x14ac:dyDescent="0.3">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1373.2</v>
      </c>
    </row>
    <row r="26" spans="1:213" x14ac:dyDescent="0.3">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2650.4</v>
      </c>
    </row>
    <row r="28" spans="1:213" x14ac:dyDescent="0.3">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row>
    <row r="30" spans="1:213" x14ac:dyDescent="0.3">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1703.1</v>
      </c>
    </row>
    <row r="31" spans="1:213" x14ac:dyDescent="0.3">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2882.9</v>
      </c>
    </row>
    <row r="32" spans="1:213" x14ac:dyDescent="0.3">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917.2</v>
      </c>
    </row>
    <row r="33" spans="1:213" x14ac:dyDescent="0.3">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582.1</v>
      </c>
    </row>
    <row r="34" spans="1:213" x14ac:dyDescent="0.3">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1593</v>
      </c>
    </row>
    <row r="35" spans="1:213" x14ac:dyDescent="0.3">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row>
    <row r="36" spans="1:213" x14ac:dyDescent="0.3">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1043</v>
      </c>
    </row>
    <row r="38" spans="1:213" x14ac:dyDescent="0.3">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3822.5</v>
      </c>
    </row>
    <row r="39" spans="1:213" x14ac:dyDescent="0.3">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636.82899999999995</v>
      </c>
    </row>
    <row r="40" spans="1:213" x14ac:dyDescent="0.3">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604.87400000000002</v>
      </c>
    </row>
    <row r="41" spans="1:213" x14ac:dyDescent="0.3">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75.936999999999998</v>
      </c>
    </row>
    <row r="42" spans="1:213" x14ac:dyDescent="0.3">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108.8</v>
      </c>
    </row>
    <row r="66" spans="1:213" x14ac:dyDescent="0.3">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126.22</v>
      </c>
    </row>
    <row r="67" spans="1:213" x14ac:dyDescent="0.3">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5099.3333333333303</v>
      </c>
    </row>
    <row r="73" spans="1:213" x14ac:dyDescent="0.3">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14328.666666666701</v>
      </c>
    </row>
    <row r="74" spans="1:213" x14ac:dyDescent="0.3">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353967.66666666698</v>
      </c>
    </row>
    <row r="75" spans="1:213" x14ac:dyDescent="0.3">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9.1144149967679108E-3</v>
      </c>
    </row>
    <row r="77" spans="1:213" x14ac:dyDescent="0.3">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7.6236078540321602E-3</v>
      </c>
    </row>
    <row r="78" spans="1:213" x14ac:dyDescent="0.3">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9.2883971170441004E-3</v>
      </c>
    </row>
    <row r="79" spans="1:213" x14ac:dyDescent="0.3">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8.52864488499816E-3</v>
      </c>
    </row>
    <row r="80" spans="1:213" x14ac:dyDescent="0.3">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11566.2</v>
      </c>
    </row>
    <row r="82" spans="1:213" x14ac:dyDescent="0.3">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1883.5</v>
      </c>
    </row>
    <row r="83" spans="1:213" x14ac:dyDescent="0.3">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809.4</v>
      </c>
    </row>
    <row r="84" spans="1:213" x14ac:dyDescent="0.3">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3414.8</v>
      </c>
    </row>
    <row r="85" spans="1:213" x14ac:dyDescent="0.3">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row>
    <row r="86" spans="1:213" x14ac:dyDescent="0.3">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50000000000001" customHeight="1" x14ac:dyDescent="0.3">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1226014</v>
      </c>
    </row>
    <row r="89" spans="1:213" x14ac:dyDescent="0.3">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C20" sqref="C20"/>
    </sheetView>
  </sheetViews>
  <sheetFormatPr defaultColWidth="10.7773437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1877</v>
      </c>
      <c r="E2" s="61" t="s">
        <v>1877</v>
      </c>
      <c r="F2" s="61"/>
      <c r="H2" s="62"/>
    </row>
    <row r="3" spans="1:11" x14ac:dyDescent="0.3">
      <c r="B3" s="56" t="s">
        <v>91</v>
      </c>
      <c r="C3" s="56" t="str">
        <f>'Haver Pivoted'!A2</f>
        <v>gdp</v>
      </c>
      <c r="D3">
        <v>26132.5</v>
      </c>
      <c r="E3" s="56">
        <f>'Haver Pivoted'!HE2</f>
        <v>26145</v>
      </c>
      <c r="F3" s="56">
        <f>E3-D3</f>
        <v>12.5</v>
      </c>
      <c r="G3" s="63">
        <f>F3/D3</f>
        <v>4.7833157945087533E-4</v>
      </c>
      <c r="H3" s="64"/>
    </row>
    <row r="4" spans="1:11" x14ac:dyDescent="0.3">
      <c r="B4" s="56" t="s">
        <v>92</v>
      </c>
      <c r="C4" s="56" t="str">
        <f>'Haver Pivoted'!A3</f>
        <v>gdph</v>
      </c>
      <c r="D4">
        <v>20198.099999999999</v>
      </c>
      <c r="E4" s="56">
        <f>'Haver Pivoted'!HE3</f>
        <v>20187.5</v>
      </c>
      <c r="F4" s="56">
        <f t="shared" ref="F4:F67" si="0">E4-D4</f>
        <v>-10.599999999998545</v>
      </c>
      <c r="G4" s="63">
        <f t="shared" ref="G4:G67" si="1">F4/D4</f>
        <v>-5.2480183779655238E-4</v>
      </c>
      <c r="H4" s="64"/>
    </row>
    <row r="5" spans="1:11" x14ac:dyDescent="0.3">
      <c r="B5" s="56" t="s">
        <v>93</v>
      </c>
      <c r="C5" s="56" t="str">
        <f>'Haver Pivoted'!A4</f>
        <v>jgdp</v>
      </c>
      <c r="D5">
        <v>129.374</v>
      </c>
      <c r="E5" s="56">
        <f>'Haver Pivoted'!HE4</f>
        <v>129.50200000000001</v>
      </c>
      <c r="F5" s="56">
        <f t="shared" si="0"/>
        <v>0.12800000000001432</v>
      </c>
      <c r="G5" s="63">
        <f t="shared" si="1"/>
        <v>9.8937962805520688E-4</v>
      </c>
      <c r="H5" s="65"/>
    </row>
    <row r="6" spans="1:11" x14ac:dyDescent="0.3">
      <c r="B6" s="56" t="s">
        <v>94</v>
      </c>
      <c r="C6" s="56" t="str">
        <f>'Haver Pivoted'!A5</f>
        <v>c</v>
      </c>
      <c r="D6">
        <v>17771.3</v>
      </c>
      <c r="E6" s="56">
        <f>'Haver Pivoted'!HE5</f>
        <v>17762.7</v>
      </c>
      <c r="F6" s="56">
        <f t="shared" si="0"/>
        <v>-8.5999999999985448</v>
      </c>
      <c r="G6" s="63">
        <f t="shared" si="1"/>
        <v>-4.8392633065665118E-4</v>
      </c>
    </row>
    <row r="7" spans="1:11" x14ac:dyDescent="0.3">
      <c r="B7" s="56" t="s">
        <v>95</v>
      </c>
      <c r="C7" s="56" t="str">
        <f>'Haver Pivoted'!A6</f>
        <v>ch</v>
      </c>
      <c r="D7">
        <v>14252.2</v>
      </c>
      <c r="E7" s="56">
        <f>'Haver Pivoted'!HE6</f>
        <v>14226.8</v>
      </c>
      <c r="F7" s="56">
        <f t="shared" si="0"/>
        <v>-25.400000000001455</v>
      </c>
      <c r="G7" s="63">
        <f t="shared" si="1"/>
        <v>-1.7821809966181679E-3</v>
      </c>
      <c r="K7" s="65"/>
    </row>
    <row r="8" spans="1:11" x14ac:dyDescent="0.3">
      <c r="B8" s="56" t="s">
        <v>96</v>
      </c>
      <c r="C8" s="56" t="str">
        <f>'Haver Pivoted'!A7</f>
        <v>jc</v>
      </c>
      <c r="D8">
        <v>124.72499999999999</v>
      </c>
      <c r="E8" s="56">
        <f>'Haver Pivoted'!HE7</f>
        <v>124.88800000000001</v>
      </c>
      <c r="F8" s="56">
        <f t="shared" si="0"/>
        <v>0.16300000000001091</v>
      </c>
      <c r="G8" s="63">
        <f t="shared" si="1"/>
        <v>1.306875125275694E-3</v>
      </c>
    </row>
    <row r="9" spans="1:11" x14ac:dyDescent="0.3">
      <c r="B9" s="56" t="s">
        <v>97</v>
      </c>
      <c r="C9" s="56" t="str">
        <f>'Haver Pivoted'!A8</f>
        <v>jgf</v>
      </c>
      <c r="D9">
        <v>123.247</v>
      </c>
      <c r="E9" s="56">
        <f>'Haver Pivoted'!HE8</f>
        <v>123.316</v>
      </c>
      <c r="F9" s="56">
        <f t="shared" si="0"/>
        <v>6.9000000000002615E-2</v>
      </c>
      <c r="G9" s="63">
        <f t="shared" si="1"/>
        <v>5.598513554082665E-4</v>
      </c>
    </row>
    <row r="10" spans="1:11" x14ac:dyDescent="0.3">
      <c r="B10" s="56" t="s">
        <v>98</v>
      </c>
      <c r="C10" s="56" t="str">
        <f>'Haver Pivoted'!A9</f>
        <v>jgs</v>
      </c>
      <c r="D10">
        <v>138.97200000000001</v>
      </c>
      <c r="E10" s="56">
        <f>'Haver Pivoted'!HE9</f>
        <v>139.19499999999999</v>
      </c>
      <c r="F10" s="56">
        <f t="shared" si="0"/>
        <v>0.22299999999998477</v>
      </c>
      <c r="G10" s="63">
        <f t="shared" si="1"/>
        <v>1.6046397835534118E-3</v>
      </c>
    </row>
    <row r="11" spans="1:11" x14ac:dyDescent="0.3">
      <c r="B11" s="56" t="s">
        <v>99</v>
      </c>
      <c r="C11" s="56" t="str">
        <f>'Haver Pivoted'!A10</f>
        <v>jgse</v>
      </c>
      <c r="D11">
        <v>138.20500000000001</v>
      </c>
      <c r="E11" s="56">
        <f>'Haver Pivoted'!HE10</f>
        <v>138.47300000000001</v>
      </c>
      <c r="F11" s="56">
        <f t="shared" si="0"/>
        <v>0.26800000000000068</v>
      </c>
      <c r="G11" s="63">
        <f t="shared" si="1"/>
        <v>1.939148366556931E-3</v>
      </c>
    </row>
    <row r="12" spans="1:11" x14ac:dyDescent="0.3">
      <c r="B12" s="56" t="s">
        <v>100</v>
      </c>
      <c r="C12" s="56" t="str">
        <f>'Haver Pivoted'!A11</f>
        <v>jgsi</v>
      </c>
      <c r="D12">
        <v>142.75</v>
      </c>
      <c r="E12" s="56">
        <f>'Haver Pivoted'!HE11</f>
        <v>142.75</v>
      </c>
      <c r="F12" s="56">
        <f t="shared" si="0"/>
        <v>0</v>
      </c>
      <c r="G12" s="63">
        <f t="shared" si="1"/>
        <v>0</v>
      </c>
    </row>
    <row r="13" spans="1:11" x14ac:dyDescent="0.3">
      <c r="A13" s="56" t="s">
        <v>55</v>
      </c>
      <c r="B13" s="56" t="s">
        <v>55</v>
      </c>
      <c r="C13" s="56" t="str">
        <f>'Haver Pivoted'!A12</f>
        <v>yptmr</v>
      </c>
      <c r="D13">
        <v>941.6</v>
      </c>
      <c r="E13" s="56">
        <f>'Haver Pivoted'!HE12</f>
        <v>941.6</v>
      </c>
      <c r="F13" s="56">
        <f t="shared" si="0"/>
        <v>0</v>
      </c>
      <c r="G13" s="63">
        <f t="shared" si="1"/>
        <v>0</v>
      </c>
      <c r="I13" s="66"/>
    </row>
    <row r="14" spans="1:11" x14ac:dyDescent="0.3">
      <c r="A14" s="56" t="s">
        <v>54</v>
      </c>
      <c r="B14" s="56" t="s">
        <v>101</v>
      </c>
      <c r="C14" s="56" t="str">
        <f>'Haver Pivoted'!A13</f>
        <v>yptmd</v>
      </c>
      <c r="D14">
        <v>784.6</v>
      </c>
      <c r="E14" s="56">
        <f>'Haver Pivoted'!HE13</f>
        <v>793.3</v>
      </c>
      <c r="F14" s="56">
        <f t="shared" si="0"/>
        <v>8.6999999999999318</v>
      </c>
      <c r="G14" s="63">
        <f t="shared" si="1"/>
        <v>1.1088452714759025E-2</v>
      </c>
    </row>
    <row r="15" spans="1:11" x14ac:dyDescent="0.3">
      <c r="A15" s="56" t="s">
        <v>53</v>
      </c>
      <c r="B15" s="56" t="s">
        <v>102</v>
      </c>
      <c r="C15" s="56" t="str">
        <f>'Haver Pivoted'!A14</f>
        <v>yptu</v>
      </c>
      <c r="D15">
        <v>20.399999999999999</v>
      </c>
      <c r="E15" s="56">
        <f>'Haver Pivoted'!HE14</f>
        <v>20.399999999999999</v>
      </c>
      <c r="F15" s="56">
        <f t="shared" si="0"/>
        <v>0</v>
      </c>
      <c r="G15" s="63">
        <f t="shared" si="1"/>
        <v>0</v>
      </c>
    </row>
    <row r="16" spans="1:11" x14ac:dyDescent="0.3">
      <c r="B16" s="56" t="s">
        <v>57</v>
      </c>
      <c r="C16" s="56" t="str">
        <f>'Haver Pivoted'!A15</f>
        <v>gtfp</v>
      </c>
      <c r="D16">
        <v>3913.5</v>
      </c>
      <c r="E16" s="56">
        <f>'Haver Pivoted'!HE15</f>
        <v>3925.9</v>
      </c>
      <c r="F16" s="56">
        <f t="shared" si="0"/>
        <v>12.400000000000091</v>
      </c>
      <c r="G16" s="63">
        <f t="shared" si="1"/>
        <v>3.1685192283122756E-3</v>
      </c>
    </row>
    <row r="17" spans="1:7" x14ac:dyDescent="0.3">
      <c r="B17" s="56" t="s">
        <v>103</v>
      </c>
      <c r="C17" s="56" t="str">
        <f>'Haver Pivoted'!A16</f>
        <v>ypog</v>
      </c>
      <c r="D17">
        <v>117</v>
      </c>
      <c r="E17" s="56">
        <f>'Haver Pivoted'!HE16</f>
        <v>117</v>
      </c>
      <c r="F17" s="56">
        <f t="shared" si="0"/>
        <v>0</v>
      </c>
      <c r="G17" s="63">
        <f t="shared" si="1"/>
        <v>0</v>
      </c>
    </row>
    <row r="18" spans="1:7" x14ac:dyDescent="0.3">
      <c r="B18" s="56" t="s">
        <v>104</v>
      </c>
      <c r="C18" s="56" t="str">
        <f>'Haver Pivoted'!A17</f>
        <v>yptx</v>
      </c>
      <c r="D18">
        <v>3243.3</v>
      </c>
      <c r="E18" s="56">
        <f>'Haver Pivoted'!HE17</f>
        <v>3232.5</v>
      </c>
      <c r="F18" s="56">
        <f t="shared" si="0"/>
        <v>-10.800000000000182</v>
      </c>
      <c r="G18" s="63">
        <f t="shared" si="1"/>
        <v>-3.3299417260198505E-3</v>
      </c>
    </row>
    <row r="19" spans="1:7" x14ac:dyDescent="0.3">
      <c r="B19" s="56" t="s">
        <v>105</v>
      </c>
      <c r="C19" s="56" t="str">
        <f>'Haver Pivoted'!A18</f>
        <v>ytpi</v>
      </c>
      <c r="D19">
        <v>1785.3</v>
      </c>
      <c r="E19" s="56">
        <f>'Haver Pivoted'!HE18</f>
        <v>1785.5</v>
      </c>
      <c r="F19" s="56">
        <f t="shared" si="0"/>
        <v>0.20000000000004547</v>
      </c>
      <c r="G19" s="63">
        <f t="shared" si="1"/>
        <v>1.1202599002971236E-4</v>
      </c>
    </row>
    <row r="20" spans="1:7" x14ac:dyDescent="0.3">
      <c r="B20" s="56" t="s">
        <v>106</v>
      </c>
      <c r="C20" s="56" t="str">
        <f>'Haver Pivoted'!A19</f>
        <v>yctlg</v>
      </c>
      <c r="D20">
        <v>441.3</v>
      </c>
      <c r="E20" s="56">
        <f>'Haver Pivoted'!HE19</f>
        <v>0</v>
      </c>
      <c r="F20" s="56">
        <f t="shared" si="0"/>
        <v>-441.3</v>
      </c>
      <c r="G20" s="63">
        <f t="shared" si="1"/>
        <v>-1</v>
      </c>
    </row>
    <row r="21" spans="1:7" x14ac:dyDescent="0.3">
      <c r="B21" s="56" t="s">
        <v>107</v>
      </c>
      <c r="C21" s="56" t="str">
        <f>'Haver Pivoted'!A20</f>
        <v>g</v>
      </c>
      <c r="D21">
        <v>4568</v>
      </c>
      <c r="E21" s="56">
        <f>'Haver Pivoted'!HE20</f>
        <v>4572.5</v>
      </c>
      <c r="F21" s="56">
        <f t="shared" si="0"/>
        <v>4.5</v>
      </c>
      <c r="G21" s="63">
        <f t="shared" si="1"/>
        <v>9.8511383537653241E-4</v>
      </c>
    </row>
    <row r="22" spans="1:7" x14ac:dyDescent="0.3">
      <c r="B22" s="56" t="s">
        <v>108</v>
      </c>
      <c r="C22" s="56" t="str">
        <f>'Haver Pivoted'!A21</f>
        <v>grcsi</v>
      </c>
      <c r="D22">
        <v>1706</v>
      </c>
      <c r="E22" s="56">
        <f>'Haver Pivoted'!HE21</f>
        <v>1727.7</v>
      </c>
      <c r="F22" s="56">
        <f t="shared" si="0"/>
        <v>21.700000000000045</v>
      </c>
      <c r="G22" s="63">
        <f t="shared" si="1"/>
        <v>1.2719812426729218E-2</v>
      </c>
    </row>
    <row r="23" spans="1:7" x14ac:dyDescent="0.3">
      <c r="B23" s="56" t="s">
        <v>96</v>
      </c>
      <c r="C23" s="56" t="str">
        <f>'Haver Pivoted'!A22</f>
        <v>dc</v>
      </c>
      <c r="D23">
        <v>124.69199999999999</v>
      </c>
      <c r="E23" s="56">
        <f>'Haver Pivoted'!HE22</f>
        <v>124.854</v>
      </c>
      <c r="F23" s="56">
        <f t="shared" si="0"/>
        <v>0.16200000000000614</v>
      </c>
      <c r="G23" s="63">
        <f t="shared" si="1"/>
        <v>1.2992012318352912E-3</v>
      </c>
    </row>
    <row r="24" spans="1:7" x14ac:dyDescent="0.3">
      <c r="A24" s="56" t="s">
        <v>109</v>
      </c>
      <c r="B24" s="56" t="s">
        <v>110</v>
      </c>
      <c r="C24" s="56" t="str">
        <f>'Haver Pivoted'!A23</f>
        <v>gf</v>
      </c>
      <c r="D24">
        <v>1693.9</v>
      </c>
      <c r="E24" s="56">
        <f>'Haver Pivoted'!HE23</f>
        <v>1693.8</v>
      </c>
      <c r="F24" s="56">
        <f t="shared" si="0"/>
        <v>-0.10000000000013642</v>
      </c>
      <c r="G24" s="63">
        <f t="shared" si="1"/>
        <v>-5.9035362182027519E-5</v>
      </c>
    </row>
    <row r="25" spans="1:7" x14ac:dyDescent="0.3">
      <c r="A25" s="56" t="s">
        <v>109</v>
      </c>
      <c r="B25" s="56" t="s">
        <v>111</v>
      </c>
      <c r="C25" s="56" t="str">
        <f>'Haver Pivoted'!A24</f>
        <v>gs</v>
      </c>
      <c r="D25">
        <v>2874.1</v>
      </c>
      <c r="E25" s="56">
        <f>'Haver Pivoted'!HE24</f>
        <v>2878.7</v>
      </c>
      <c r="F25" s="56">
        <f t="shared" si="0"/>
        <v>4.5999999999999091</v>
      </c>
      <c r="G25" s="63">
        <f t="shared" si="1"/>
        <v>1.6005010264082352E-3</v>
      </c>
    </row>
    <row r="26" spans="1:7" x14ac:dyDescent="0.3">
      <c r="B26" s="56" t="s">
        <v>112</v>
      </c>
      <c r="C26" s="56" t="str">
        <f>'Haver Pivoted'!A25</f>
        <v>gfh</v>
      </c>
      <c r="D26">
        <v>1374.1</v>
      </c>
      <c r="E26" s="56">
        <f>'Haver Pivoted'!HE25</f>
        <v>1373.2</v>
      </c>
      <c r="F26" s="56">
        <f t="shared" si="0"/>
        <v>-0.89999999999986358</v>
      </c>
      <c r="G26" s="63">
        <f t="shared" si="1"/>
        <v>-6.5497416490784054E-4</v>
      </c>
    </row>
    <row r="27" spans="1:7" x14ac:dyDescent="0.3">
      <c r="B27" s="56" t="s">
        <v>113</v>
      </c>
      <c r="C27" s="56" t="str">
        <f>'Haver Pivoted'!A26</f>
        <v>gsh</v>
      </c>
      <c r="D27">
        <v>2068.3000000000002</v>
      </c>
      <c r="E27" s="56">
        <f>'Haver Pivoted'!HE26</f>
        <v>2068.3000000000002</v>
      </c>
      <c r="F27" s="56">
        <f t="shared" si="0"/>
        <v>0</v>
      </c>
      <c r="G27" s="63">
        <f t="shared" si="1"/>
        <v>0</v>
      </c>
    </row>
    <row r="28" spans="1:7" x14ac:dyDescent="0.3">
      <c r="A28" s="56" t="s">
        <v>58</v>
      </c>
      <c r="B28" s="56" t="s">
        <v>114</v>
      </c>
      <c r="C28" s="56" t="s">
        <v>115</v>
      </c>
      <c r="D28">
        <v>2654.8</v>
      </c>
      <c r="E28" s="56">
        <f>'Haver Pivoted'!HE27</f>
        <v>2650.4</v>
      </c>
      <c r="F28" s="56">
        <f t="shared" si="0"/>
        <v>-4.4000000000000909</v>
      </c>
      <c r="G28" s="63">
        <f t="shared" si="1"/>
        <v>-1.657375320174812E-3</v>
      </c>
    </row>
    <row r="29" spans="1:7" x14ac:dyDescent="0.3">
      <c r="A29" s="56" t="s">
        <v>58</v>
      </c>
      <c r="B29" s="56" t="s">
        <v>116</v>
      </c>
      <c r="C29" s="56" t="s">
        <v>117</v>
      </c>
      <c r="D29">
        <v>192.5</v>
      </c>
      <c r="E29" s="56">
        <f>'Haver Pivoted'!HE28</f>
        <v>192.5</v>
      </c>
      <c r="F29" s="56">
        <f t="shared" si="0"/>
        <v>0</v>
      </c>
      <c r="G29" s="63">
        <f t="shared" si="1"/>
        <v>0</v>
      </c>
    </row>
    <row r="30" spans="1:7" x14ac:dyDescent="0.3">
      <c r="A30" s="56" t="s">
        <v>58</v>
      </c>
      <c r="B30" s="56" t="s">
        <v>118</v>
      </c>
      <c r="C30" s="56" t="s">
        <v>119</v>
      </c>
      <c r="D30">
        <v>340.6</v>
      </c>
      <c r="E30" s="56">
        <f>'Haver Pivoted'!HE29</f>
        <v>0</v>
      </c>
      <c r="F30" s="56">
        <f t="shared" si="0"/>
        <v>-340.6</v>
      </c>
      <c r="G30" s="63">
        <f t="shared" si="1"/>
        <v>-1</v>
      </c>
    </row>
    <row r="31" spans="1:7" x14ac:dyDescent="0.3">
      <c r="A31" s="56" t="s">
        <v>58</v>
      </c>
      <c r="B31" s="56" t="s">
        <v>120</v>
      </c>
      <c r="C31" s="56" t="s">
        <v>121</v>
      </c>
      <c r="D31">
        <v>1681.5</v>
      </c>
      <c r="E31" s="56">
        <f>'Haver Pivoted'!HE30</f>
        <v>1703.1</v>
      </c>
      <c r="F31" s="56">
        <f t="shared" si="0"/>
        <v>21.599999999999909</v>
      </c>
      <c r="G31" s="63">
        <f t="shared" si="1"/>
        <v>1.2845673505798341E-2</v>
      </c>
    </row>
    <row r="32" spans="1:7" x14ac:dyDescent="0.3">
      <c r="A32" s="56" t="s">
        <v>122</v>
      </c>
      <c r="B32" s="56" t="s">
        <v>123</v>
      </c>
      <c r="C32" s="56" t="str">
        <f>'Haver Pivoted'!A31</f>
        <v>gftfp</v>
      </c>
      <c r="D32">
        <v>2879.8</v>
      </c>
      <c r="E32" s="56">
        <f>'Haver Pivoted'!HE31</f>
        <v>2882.9</v>
      </c>
      <c r="F32" s="56">
        <f t="shared" si="0"/>
        <v>3.0999999999999091</v>
      </c>
      <c r="G32" s="63">
        <f t="shared" si="1"/>
        <v>1.0764636433085314E-3</v>
      </c>
    </row>
    <row r="33" spans="1:10" x14ac:dyDescent="0.3">
      <c r="A33" s="56" t="s">
        <v>51</v>
      </c>
      <c r="B33" s="55" t="s">
        <v>124</v>
      </c>
      <c r="C33" s="56" t="str">
        <f>'Haver Pivoted'!A32</f>
        <v>gfeg</v>
      </c>
      <c r="D33">
        <v>918.1</v>
      </c>
      <c r="E33" s="56">
        <f>'Haver Pivoted'!HE32</f>
        <v>917.2</v>
      </c>
      <c r="F33" s="56">
        <f t="shared" si="0"/>
        <v>-0.89999999999997726</v>
      </c>
      <c r="G33" s="63">
        <f t="shared" si="1"/>
        <v>-9.8028537196381349E-4</v>
      </c>
    </row>
    <row r="34" spans="1:10" x14ac:dyDescent="0.3">
      <c r="A34" s="56" t="s">
        <v>58</v>
      </c>
      <c r="B34" s="56" t="s">
        <v>125</v>
      </c>
      <c r="C34" s="56" t="str">
        <f>'Haver Pivoted'!A33</f>
        <v>gsrpt</v>
      </c>
      <c r="D34">
        <v>588.5</v>
      </c>
      <c r="E34" s="56">
        <f>'Haver Pivoted'!HE33</f>
        <v>582.1</v>
      </c>
      <c r="F34" s="56">
        <f t="shared" si="0"/>
        <v>-6.3999999999999773</v>
      </c>
      <c r="G34" s="63">
        <f t="shared" si="1"/>
        <v>-1.0875106202208967E-2</v>
      </c>
    </row>
    <row r="35" spans="1:10" x14ac:dyDescent="0.3">
      <c r="A35" s="56" t="s">
        <v>58</v>
      </c>
      <c r="B35" s="56" t="s">
        <v>126</v>
      </c>
      <c r="C35" s="56" t="str">
        <f>'Haver Pivoted'!A34</f>
        <v>gsrpri</v>
      </c>
      <c r="D35">
        <v>1592.8</v>
      </c>
      <c r="E35" s="56">
        <f>'Haver Pivoted'!HE34</f>
        <v>1593</v>
      </c>
      <c r="F35" s="56">
        <f t="shared" si="0"/>
        <v>0.20000000000004547</v>
      </c>
      <c r="G35" s="63">
        <f t="shared" si="1"/>
        <v>1.2556504269214307E-4</v>
      </c>
    </row>
    <row r="36" spans="1:10" x14ac:dyDescent="0.3">
      <c r="A36" s="56" t="s">
        <v>58</v>
      </c>
      <c r="B36" s="56" t="s">
        <v>127</v>
      </c>
      <c r="C36" s="56" t="str">
        <f>'Haver Pivoted'!A35</f>
        <v>gsrcp</v>
      </c>
      <c r="D36">
        <v>0</v>
      </c>
      <c r="E36" s="56">
        <f>'Haver Pivoted'!HE35</f>
        <v>0</v>
      </c>
      <c r="F36" s="56">
        <f t="shared" si="0"/>
        <v>0</v>
      </c>
      <c r="G36" s="63" t="e">
        <f t="shared" si="1"/>
        <v>#DIV/0!</v>
      </c>
    </row>
    <row r="37" spans="1:10" x14ac:dyDescent="0.3">
      <c r="A37" s="56" t="s">
        <v>58</v>
      </c>
      <c r="B37" s="56" t="s">
        <v>128</v>
      </c>
      <c r="C37" s="56" t="str">
        <f>'Haver Pivoted'!A36</f>
        <v>gsrs</v>
      </c>
      <c r="D37">
        <v>24.5</v>
      </c>
      <c r="E37" s="56">
        <f>'Haver Pivoted'!HE36</f>
        <v>24.5</v>
      </c>
      <c r="F37" s="56">
        <f t="shared" si="0"/>
        <v>0</v>
      </c>
      <c r="G37" s="63">
        <f t="shared" si="1"/>
        <v>0</v>
      </c>
    </row>
    <row r="38" spans="1:10" x14ac:dyDescent="0.3">
      <c r="A38" s="56" t="s">
        <v>57</v>
      </c>
      <c r="B38" s="56" t="s">
        <v>129</v>
      </c>
      <c r="C38" s="56" t="str">
        <f>'Haver Pivoted'!A37</f>
        <v>gstfp</v>
      </c>
      <c r="D38">
        <v>1033.7</v>
      </c>
      <c r="E38" s="56">
        <f>'Haver Pivoted'!HE37</f>
        <v>1043</v>
      </c>
      <c r="F38" s="56">
        <f t="shared" si="0"/>
        <v>9.2999999999999545</v>
      </c>
      <c r="G38" s="63">
        <f t="shared" si="1"/>
        <v>8.9968075844054883E-3</v>
      </c>
    </row>
    <row r="39" spans="1:10" x14ac:dyDescent="0.3">
      <c r="B39" s="56" t="s">
        <v>130</v>
      </c>
      <c r="C39" s="56" t="str">
        <f>'Haver Pivoted'!A38</f>
        <v>gset</v>
      </c>
      <c r="D39">
        <v>3808.6</v>
      </c>
      <c r="E39" s="56">
        <f>'Haver Pivoted'!HE38</f>
        <v>3822.5</v>
      </c>
      <c r="F39" s="56">
        <f t="shared" si="0"/>
        <v>13.900000000000091</v>
      </c>
      <c r="G39" s="63">
        <f t="shared" si="1"/>
        <v>3.6496350364963745E-3</v>
      </c>
    </row>
    <row r="40" spans="1:10" x14ac:dyDescent="0.3">
      <c r="B40" s="56" t="s">
        <v>131</v>
      </c>
      <c r="C40" s="56" t="str">
        <f>'Haver Pivoted'!A39</f>
        <v>gfeghhx</v>
      </c>
      <c r="D40">
        <v>636.61</v>
      </c>
      <c r="E40" s="56">
        <f>'Haver Pivoted'!HE39</f>
        <v>636.82899999999995</v>
      </c>
      <c r="F40" s="56">
        <f t="shared" si="0"/>
        <v>0.21899999999993724</v>
      </c>
      <c r="G40" s="63">
        <f t="shared" si="1"/>
        <v>3.4400967625380886E-4</v>
      </c>
    </row>
    <row r="41" spans="1:10" x14ac:dyDescent="0.3">
      <c r="A41" s="56" t="s">
        <v>132</v>
      </c>
      <c r="B41" s="56" t="s">
        <v>133</v>
      </c>
      <c r="C41" s="56" t="str">
        <f>'Haver Pivoted'!A40</f>
        <v>gfeghdx</v>
      </c>
      <c r="D41">
        <v>604.79499999999996</v>
      </c>
      <c r="E41" s="56">
        <f>'Haver Pivoted'!HE40</f>
        <v>604.87400000000002</v>
      </c>
      <c r="F41" s="56">
        <f t="shared" si="0"/>
        <v>7.9000000000064574E-2</v>
      </c>
      <c r="G41" s="63">
        <f t="shared" si="1"/>
        <v>1.3062277300583599E-4</v>
      </c>
    </row>
    <row r="42" spans="1:10" x14ac:dyDescent="0.3">
      <c r="A42" s="56" t="s">
        <v>51</v>
      </c>
      <c r="B42" s="56" t="s">
        <v>134</v>
      </c>
      <c r="C42" s="56" t="str">
        <f>'Haver Pivoted'!A41</f>
        <v>gfeigx</v>
      </c>
      <c r="D42">
        <v>76.164000000000001</v>
      </c>
      <c r="E42" s="56">
        <f>'Haver Pivoted'!HE41</f>
        <v>75.936999999999998</v>
      </c>
      <c r="F42" s="56">
        <f t="shared" si="0"/>
        <v>-0.22700000000000387</v>
      </c>
      <c r="G42" s="63">
        <f t="shared" si="1"/>
        <v>-2.9804106927157695E-3</v>
      </c>
    </row>
    <row r="43" spans="1:10" x14ac:dyDescent="0.3">
      <c r="B43" s="56" t="s">
        <v>135</v>
      </c>
      <c r="C43" s="56" t="str">
        <f>'Haver Pivoted'!A42</f>
        <v>gfsub</v>
      </c>
      <c r="D43">
        <v>107.6</v>
      </c>
      <c r="E43" s="56">
        <f>'Haver Pivoted'!HE42</f>
        <v>110.8</v>
      </c>
      <c r="F43" s="56">
        <f t="shared" si="0"/>
        <v>3.2000000000000028</v>
      </c>
      <c r="G43" s="63">
        <f t="shared" si="1"/>
        <v>2.9739776951672889E-2</v>
      </c>
      <c r="I43" s="67"/>
      <c r="J43" s="64"/>
    </row>
    <row r="44" spans="1:10" x14ac:dyDescent="0.3">
      <c r="B44" s="56" t="s">
        <v>136</v>
      </c>
      <c r="C44" s="56" t="str">
        <f>'Haver Pivoted'!A43</f>
        <v>gssub</v>
      </c>
      <c r="D44">
        <v>0.7</v>
      </c>
      <c r="E44" s="56">
        <f>'Haver Pivoted'!HE43</f>
        <v>0.7</v>
      </c>
      <c r="F44" s="56">
        <f t="shared" si="0"/>
        <v>0</v>
      </c>
      <c r="G44" s="63">
        <f t="shared" si="1"/>
        <v>0</v>
      </c>
      <c r="I44" s="57"/>
      <c r="J44" s="64"/>
    </row>
    <row r="45" spans="1:10" x14ac:dyDescent="0.3">
      <c r="B45" s="56" t="s">
        <v>52</v>
      </c>
      <c r="C45" s="56" t="str">
        <f>'Haver Pivoted'!A44</f>
        <v>gsub</v>
      </c>
      <c r="D45">
        <v>108.3</v>
      </c>
      <c r="E45" s="56">
        <f>'Haver Pivoted'!HE44</f>
        <v>111.5</v>
      </c>
      <c r="F45" s="56">
        <f t="shared" si="0"/>
        <v>3.2000000000000028</v>
      </c>
      <c r="G45" s="63">
        <f t="shared" si="1"/>
        <v>2.9547553093259491E-2</v>
      </c>
      <c r="I45" s="57"/>
      <c r="J45" s="65"/>
    </row>
    <row r="46" spans="1:10" x14ac:dyDescent="0.3">
      <c r="A46" s="56" t="s">
        <v>56</v>
      </c>
      <c r="B46" s="56" t="s">
        <v>56</v>
      </c>
      <c r="C46" s="56" t="str">
        <f>'Haver Pivoted'!A45</f>
        <v>gftfpe</v>
      </c>
      <c r="D46">
        <v>0</v>
      </c>
      <c r="E46" s="56">
        <f>'Haver Pivoted'!HE45</f>
        <v>0</v>
      </c>
      <c r="F46" s="56">
        <f t="shared" si="0"/>
        <v>0</v>
      </c>
      <c r="G46" s="63" t="e">
        <f t="shared" si="1"/>
        <v>#DIV/0!</v>
      </c>
      <c r="I46" s="57"/>
      <c r="J46" s="65"/>
    </row>
    <row r="47" spans="1:10" x14ac:dyDescent="0.3">
      <c r="B47" s="56" t="s">
        <v>137</v>
      </c>
      <c r="C47" s="56" t="str">
        <f>'Haver Pivoted'!A46</f>
        <v>gftfpr</v>
      </c>
      <c r="D47">
        <v>0</v>
      </c>
      <c r="E47" s="56">
        <f>'Haver Pivoted'!HE46</f>
        <v>0</v>
      </c>
      <c r="F47" s="56">
        <f t="shared" si="0"/>
        <v>0</v>
      </c>
      <c r="G47" s="63" t="e">
        <f t="shared" si="1"/>
        <v>#DIV/0!</v>
      </c>
      <c r="I47" s="57"/>
      <c r="J47" s="65"/>
    </row>
    <row r="48" spans="1:10" x14ac:dyDescent="0.3">
      <c r="A48" s="56" t="s">
        <v>50</v>
      </c>
      <c r="B48" s="56" t="s">
        <v>138</v>
      </c>
      <c r="C48" s="56" t="str">
        <f>'Haver Pivoted'!A47</f>
        <v>gftfpp</v>
      </c>
      <c r="D48">
        <v>0</v>
      </c>
      <c r="E48" s="56">
        <f>'Haver Pivoted'!HE47</f>
        <v>0</v>
      </c>
      <c r="F48" s="56">
        <f t="shared" si="0"/>
        <v>0</v>
      </c>
      <c r="G48" s="63" t="e">
        <f t="shared" si="1"/>
        <v>#DIV/0!</v>
      </c>
      <c r="J48" s="65"/>
    </row>
    <row r="49" spans="1:9" x14ac:dyDescent="0.3">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
      <c r="A50" s="56" t="s">
        <v>140</v>
      </c>
      <c r="B50" s="53" t="s">
        <v>141</v>
      </c>
      <c r="C50" s="56" t="str">
        <f>'Haver Pivoted'!A49</f>
        <v>gfsubp</v>
      </c>
      <c r="D50">
        <v>0</v>
      </c>
      <c r="E50" s="56">
        <f>'Haver Pivoted'!HE49</f>
        <v>0</v>
      </c>
      <c r="F50" s="56">
        <f t="shared" si="0"/>
        <v>0</v>
      </c>
      <c r="G50" s="63" t="e">
        <f t="shared" si="1"/>
        <v>#DIV/0!</v>
      </c>
      <c r="H50" s="49"/>
      <c r="I50" s="50"/>
    </row>
    <row r="51" spans="1:9" x14ac:dyDescent="0.3">
      <c r="A51" s="56" t="s">
        <v>52</v>
      </c>
      <c r="B51" s="53" t="s">
        <v>142</v>
      </c>
      <c r="C51" s="56" t="str">
        <f>'Haver Pivoted'!A50</f>
        <v>gfsubg</v>
      </c>
      <c r="D51">
        <v>0.4</v>
      </c>
      <c r="E51" s="56">
        <f>'Haver Pivoted'!HE50</f>
        <v>0.4</v>
      </c>
      <c r="F51" s="56">
        <f t="shared" si="0"/>
        <v>0</v>
      </c>
      <c r="G51" s="63">
        <f t="shared" si="1"/>
        <v>0</v>
      </c>
      <c r="H51" s="69"/>
      <c r="I51" s="68"/>
    </row>
    <row r="52" spans="1:9" x14ac:dyDescent="0.3">
      <c r="A52" s="56" t="s">
        <v>52</v>
      </c>
      <c r="B52" s="53" t="s">
        <v>143</v>
      </c>
      <c r="C52" s="56" t="str">
        <f>'Haver Pivoted'!A51</f>
        <v>gfsube</v>
      </c>
      <c r="D52">
        <v>0</v>
      </c>
      <c r="E52" s="56">
        <f>'Haver Pivoted'!HE51</f>
        <v>0</v>
      </c>
      <c r="F52" s="56">
        <f t="shared" si="0"/>
        <v>0</v>
      </c>
      <c r="G52" s="63" t="e">
        <f t="shared" si="1"/>
        <v>#DIV/0!</v>
      </c>
      <c r="H52" s="52"/>
      <c r="I52" s="50"/>
    </row>
    <row r="53" spans="1:9" x14ac:dyDescent="0.3">
      <c r="A53" s="56" t="s">
        <v>52</v>
      </c>
      <c r="B53" s="53" t="s">
        <v>144</v>
      </c>
      <c r="C53" s="56" t="str">
        <f>'Haver Pivoted'!A52</f>
        <v>gfsubs</v>
      </c>
      <c r="D53">
        <v>15.8</v>
      </c>
      <c r="E53" s="56">
        <f>'Haver Pivoted'!HE52</f>
        <v>15.8</v>
      </c>
      <c r="F53" s="56">
        <f t="shared" si="0"/>
        <v>0</v>
      </c>
      <c r="G53" s="63">
        <f t="shared" si="1"/>
        <v>0</v>
      </c>
      <c r="H53" s="52"/>
      <c r="I53" s="50"/>
    </row>
    <row r="54" spans="1:9" x14ac:dyDescent="0.3">
      <c r="A54" s="56" t="s">
        <v>52</v>
      </c>
      <c r="B54" s="53" t="s">
        <v>145</v>
      </c>
      <c r="C54" s="56" t="str">
        <f>'Haver Pivoted'!A53</f>
        <v>gfsubf</v>
      </c>
      <c r="D54">
        <v>0</v>
      </c>
      <c r="E54" s="56">
        <f>'Haver Pivoted'!HE53</f>
        <v>0</v>
      </c>
      <c r="F54" s="56">
        <f t="shared" si="0"/>
        <v>0</v>
      </c>
      <c r="G54" s="63" t="e">
        <f t="shared" si="1"/>
        <v>#DIV/0!</v>
      </c>
      <c r="H54" s="49"/>
      <c r="I54" s="50"/>
    </row>
    <row r="55" spans="1:9" x14ac:dyDescent="0.3">
      <c r="A55" s="56" t="s">
        <v>146</v>
      </c>
      <c r="B55" s="53" t="s">
        <v>147</v>
      </c>
      <c r="C55" s="56" t="str">
        <f>'Haver Pivoted'!A54</f>
        <v>gfsubv</v>
      </c>
      <c r="D55">
        <v>3.6</v>
      </c>
      <c r="E55" s="56">
        <f>'Haver Pivoted'!HE54</f>
        <v>3.6</v>
      </c>
      <c r="F55" s="56">
        <f t="shared" si="0"/>
        <v>0</v>
      </c>
      <c r="G55" s="63">
        <f t="shared" si="1"/>
        <v>0</v>
      </c>
    </row>
    <row r="56" spans="1:9" x14ac:dyDescent="0.3">
      <c r="A56" s="56" t="s">
        <v>52</v>
      </c>
      <c r="B56" s="53" t="s">
        <v>148</v>
      </c>
      <c r="C56" s="56" t="str">
        <f>'Haver Pivoted'!A55</f>
        <v>gfsubk</v>
      </c>
      <c r="D56">
        <v>0</v>
      </c>
      <c r="E56" s="56">
        <f>'Haver Pivoted'!HE55</f>
        <v>0</v>
      </c>
      <c r="F56" s="56">
        <f t="shared" si="0"/>
        <v>0</v>
      </c>
      <c r="G56" s="63" t="e">
        <f t="shared" si="1"/>
        <v>#DIV/0!</v>
      </c>
      <c r="H56" s="49"/>
      <c r="I56" s="50"/>
    </row>
    <row r="57" spans="1:9" x14ac:dyDescent="0.3">
      <c r="A57" s="56" t="s">
        <v>51</v>
      </c>
      <c r="B57" s="55" t="s">
        <v>149</v>
      </c>
      <c r="C57" s="56" t="str">
        <f>'Haver Pivoted'!A56</f>
        <v>gfegc</v>
      </c>
      <c r="D57">
        <v>0</v>
      </c>
      <c r="E57" s="56">
        <f>'Haver Pivoted'!HE56</f>
        <v>0</v>
      </c>
      <c r="F57" s="56">
        <f t="shared" si="0"/>
        <v>0</v>
      </c>
      <c r="G57" s="63"/>
      <c r="H57" s="49"/>
      <c r="I57" s="50"/>
    </row>
    <row r="58" spans="1:9" x14ac:dyDescent="0.3">
      <c r="A58" s="56" t="s">
        <v>51</v>
      </c>
      <c r="B58" s="55" t="s">
        <v>150</v>
      </c>
      <c r="C58" s="56" t="str">
        <f>'Haver Pivoted'!A57</f>
        <v>gfege</v>
      </c>
      <c r="D58">
        <v>64</v>
      </c>
      <c r="E58" s="56">
        <f>'Haver Pivoted'!HE57</f>
        <v>64</v>
      </c>
      <c r="F58" s="56">
        <f t="shared" si="0"/>
        <v>0</v>
      </c>
      <c r="G58" s="63">
        <f t="shared" si="1"/>
        <v>0</v>
      </c>
      <c r="H58" s="49"/>
      <c r="I58" s="50"/>
    </row>
    <row r="59" spans="1:9" x14ac:dyDescent="0.3">
      <c r="A59" s="56" t="s">
        <v>151</v>
      </c>
      <c r="B59" s="55" t="s">
        <v>152</v>
      </c>
      <c r="C59" s="56" t="str">
        <f>'Haver Pivoted'!A58</f>
        <v>gfegv</v>
      </c>
      <c r="D59">
        <v>6.2</v>
      </c>
      <c r="E59" s="56">
        <f>'Haver Pivoted'!HE58</f>
        <v>6.2</v>
      </c>
      <c r="F59" s="56">
        <f t="shared" si="0"/>
        <v>0</v>
      </c>
      <c r="G59" s="63">
        <f t="shared" si="1"/>
        <v>0</v>
      </c>
    </row>
    <row r="60" spans="1:9" x14ac:dyDescent="0.3">
      <c r="A60" s="56" t="s">
        <v>53</v>
      </c>
      <c r="B60" s="56" t="s">
        <v>153</v>
      </c>
      <c r="C60" s="56" t="str">
        <f>'Haver Pivoted'!A59</f>
        <v>yptue</v>
      </c>
      <c r="D60">
        <v>0.2</v>
      </c>
      <c r="E60" s="56">
        <f>'Haver Pivoted'!HE59</f>
        <v>0.2</v>
      </c>
      <c r="F60" s="56">
        <f t="shared" si="0"/>
        <v>0</v>
      </c>
      <c r="G60" s="63">
        <f t="shared" si="1"/>
        <v>0</v>
      </c>
    </row>
    <row r="61" spans="1:9" x14ac:dyDescent="0.3">
      <c r="A61" s="56" t="s">
        <v>53</v>
      </c>
      <c r="B61" s="56" t="s">
        <v>154</v>
      </c>
      <c r="C61" s="56" t="str">
        <f>'Haver Pivoted'!A60</f>
        <v>yptup</v>
      </c>
      <c r="D61">
        <v>0.1</v>
      </c>
      <c r="E61" s="56">
        <f>'Haver Pivoted'!HE60</f>
        <v>0.1</v>
      </c>
      <c r="F61" s="56">
        <f t="shared" si="0"/>
        <v>0</v>
      </c>
      <c r="G61" s="63">
        <f t="shared" si="1"/>
        <v>0</v>
      </c>
    </row>
    <row r="62" spans="1:9" x14ac:dyDescent="0.3">
      <c r="A62" s="56" t="s">
        <v>53</v>
      </c>
      <c r="B62" s="56" t="s">
        <v>155</v>
      </c>
      <c r="C62" s="56" t="str">
        <f>'Haver Pivoted'!A61</f>
        <v>yptuc</v>
      </c>
      <c r="D62">
        <v>0.1</v>
      </c>
      <c r="E62" s="56">
        <f>'Haver Pivoted'!HE61</f>
        <v>0</v>
      </c>
      <c r="F62" s="56">
        <f t="shared" si="0"/>
        <v>-0.1</v>
      </c>
      <c r="G62" s="63">
        <f t="shared" si="1"/>
        <v>-1</v>
      </c>
    </row>
    <row r="63" spans="1:9" x14ac:dyDescent="0.3">
      <c r="B63" s="56" t="s">
        <v>156</v>
      </c>
      <c r="C63" s="56" t="str">
        <f>'Haver Pivoted'!A62</f>
        <v>gftfpu</v>
      </c>
      <c r="D63">
        <v>0.3</v>
      </c>
      <c r="E63" s="56">
        <f>'Haver Pivoted'!HE62</f>
        <v>0.3</v>
      </c>
      <c r="F63" s="56">
        <f t="shared" si="0"/>
        <v>0</v>
      </c>
      <c r="G63" s="63">
        <f t="shared" si="1"/>
        <v>0</v>
      </c>
      <c r="H63" s="55"/>
      <c r="I63" s="55"/>
    </row>
    <row r="64" spans="1:9" x14ac:dyDescent="0.3">
      <c r="A64" s="56" t="s">
        <v>53</v>
      </c>
      <c r="B64" s="59" t="s">
        <v>157</v>
      </c>
      <c r="C64" s="56" t="str">
        <f>'Haver Pivoted'!A63</f>
        <v>yptub</v>
      </c>
      <c r="D64">
        <v>0</v>
      </c>
      <c r="E64" s="56">
        <f>'Haver Pivoted'!HE63</f>
        <v>0</v>
      </c>
      <c r="F64" s="56">
        <f t="shared" si="0"/>
        <v>0</v>
      </c>
      <c r="G64" s="63" t="e">
        <f t="shared" si="1"/>
        <v>#DIV/0!</v>
      </c>
      <c r="H64" s="55"/>
      <c r="I64" s="55"/>
    </row>
    <row r="65" spans="1:9" x14ac:dyDescent="0.3">
      <c r="A65" s="56" t="s">
        <v>53</v>
      </c>
      <c r="B65" s="56" t="s">
        <v>158</v>
      </c>
      <c r="C65" s="56" t="str">
        <f>'Haver Pivoted'!A64</f>
        <v>yptol</v>
      </c>
      <c r="D65">
        <v>0</v>
      </c>
      <c r="E65" s="56">
        <f>'Haver Pivoted'!HE64</f>
        <v>0</v>
      </c>
      <c r="F65" s="56">
        <f t="shared" si="0"/>
        <v>0</v>
      </c>
      <c r="G65" s="63" t="e">
        <f t="shared" si="1"/>
        <v>#DIV/0!</v>
      </c>
      <c r="H65" s="55"/>
      <c r="I65" s="55"/>
    </row>
    <row r="66" spans="1:9" x14ac:dyDescent="0.3">
      <c r="B66" s="56" t="s">
        <v>159</v>
      </c>
      <c r="C66" s="56" t="str">
        <f>'Haver Pivoted'!A65</f>
        <v>gfctp</v>
      </c>
      <c r="D66">
        <v>108.7</v>
      </c>
      <c r="E66" s="56">
        <f>'Haver Pivoted'!HE65</f>
        <v>108.8</v>
      </c>
      <c r="F66" s="56">
        <f t="shared" si="0"/>
        <v>9.9999999999994316E-2</v>
      </c>
      <c r="G66" s="63">
        <f t="shared" si="1"/>
        <v>9.1996320147188886E-4</v>
      </c>
      <c r="H66" s="55"/>
      <c r="I66" s="55"/>
    </row>
    <row r="67" spans="1:9" x14ac:dyDescent="0.3">
      <c r="A67" s="56" t="s">
        <v>57</v>
      </c>
      <c r="B67" s="54" t="s">
        <v>160</v>
      </c>
      <c r="C67" s="56" t="str">
        <f>'Haver Pivoted'!A66</f>
        <v>gftffx</v>
      </c>
      <c r="D67">
        <v>123.58</v>
      </c>
      <c r="E67" s="56">
        <f>'Haver Pivoted'!HE66</f>
        <v>126.22</v>
      </c>
      <c r="F67" s="56">
        <f t="shared" si="0"/>
        <v>2.6400000000000006</v>
      </c>
      <c r="G67" s="63">
        <f t="shared" si="1"/>
        <v>2.1362680045314782E-2</v>
      </c>
      <c r="H67" s="55"/>
      <c r="I67" s="55"/>
    </row>
    <row r="68" spans="1:9" x14ac:dyDescent="0.3">
      <c r="B68" s="56" t="s">
        <v>161</v>
      </c>
      <c r="C68" s="56" t="str">
        <f>'Haver Pivoted'!A67</f>
        <v>cpiu</v>
      </c>
      <c r="D68">
        <v>298.17433333333298</v>
      </c>
      <c r="E68" s="56">
        <f>'Haver Pivoted'!HE67</f>
        <v>298.52499999999998</v>
      </c>
      <c r="F68" s="56">
        <f t="shared" ref="F68:F81" si="2">E68-D68</f>
        <v>0.35066666666699575</v>
      </c>
      <c r="G68" s="63">
        <f t="shared" ref="G68:G81" si="3">F68/D68</f>
        <v>1.1760457808250749E-3</v>
      </c>
      <c r="H68" s="55"/>
      <c r="I68" s="55"/>
    </row>
    <row r="69" spans="1:9" x14ac:dyDescent="0.3">
      <c r="C69" s="56" t="str">
        <f>'Haver Pivoted'!A68</f>
        <v>pcw</v>
      </c>
      <c r="D69">
        <v>292.91500000000002</v>
      </c>
      <c r="E69" s="56">
        <f>'Haver Pivoted'!HE68</f>
        <v>293.31766666666698</v>
      </c>
      <c r="F69" s="56">
        <f t="shared" si="2"/>
        <v>0.40266666666695983</v>
      </c>
      <c r="G69" s="63">
        <f t="shared" si="3"/>
        <v>1.3746877649384967E-3</v>
      </c>
    </row>
    <row r="70" spans="1:9" x14ac:dyDescent="0.3">
      <c r="B70" s="56" t="s">
        <v>162</v>
      </c>
      <c r="C70" s="56" t="str">
        <f>'Haver Pivoted'!A69</f>
        <v>gdppothq</v>
      </c>
      <c r="D70">
        <v>20295.5</v>
      </c>
      <c r="E70" s="56">
        <f>'Haver Pivoted'!HE69</f>
        <v>20362</v>
      </c>
      <c r="F70" s="56">
        <f t="shared" si="2"/>
        <v>66.5</v>
      </c>
      <c r="G70" s="63">
        <f t="shared" si="3"/>
        <v>3.2765884062969622E-3</v>
      </c>
    </row>
    <row r="71" spans="1:9" x14ac:dyDescent="0.3">
      <c r="B71" s="56" t="s">
        <v>163</v>
      </c>
      <c r="C71" s="56" t="str">
        <f>'Haver Pivoted'!A70</f>
        <v>gdppotq</v>
      </c>
      <c r="D71">
        <v>25591.4</v>
      </c>
      <c r="E71" s="56">
        <f>'Haver Pivoted'!HE70</f>
        <v>26355.7</v>
      </c>
      <c r="F71" s="56">
        <f t="shared" si="2"/>
        <v>764.29999999999927</v>
      </c>
      <c r="G71" s="63">
        <f t="shared" si="3"/>
        <v>2.9865501691974619E-2</v>
      </c>
    </row>
    <row r="72" spans="1:9" x14ac:dyDescent="0.3">
      <c r="B72" s="56" t="s">
        <v>164</v>
      </c>
      <c r="C72" s="56" t="str">
        <f>'Haver Pivoted'!A71</f>
        <v>recessq</v>
      </c>
      <c r="D72">
        <v>-1</v>
      </c>
      <c r="E72" s="56">
        <f>'Haver Pivoted'!HE71</f>
        <v>-1</v>
      </c>
      <c r="F72" s="56">
        <f t="shared" si="2"/>
        <v>0</v>
      </c>
      <c r="G72" s="63">
        <f t="shared" si="3"/>
        <v>0</v>
      </c>
    </row>
    <row r="73" spans="1:9" x14ac:dyDescent="0.3">
      <c r="A73" s="56" t="s">
        <v>165</v>
      </c>
      <c r="B73" s="56" t="s">
        <v>166</v>
      </c>
      <c r="C73" s="56" t="str">
        <f>'Haver Pivoted'!A72</f>
        <v>lasgova</v>
      </c>
      <c r="D73">
        <v>5277</v>
      </c>
      <c r="E73" s="56">
        <f>'Haver Pivoted'!HE72</f>
        <v>5099.3333333333303</v>
      </c>
      <c r="F73" s="56">
        <f t="shared" si="2"/>
        <v>-177.6666666666697</v>
      </c>
      <c r="G73" s="63">
        <f t="shared" si="3"/>
        <v>-3.3668119512349763E-2</v>
      </c>
    </row>
    <row r="74" spans="1:9" x14ac:dyDescent="0.3">
      <c r="A74" s="56" t="s">
        <v>165</v>
      </c>
      <c r="B74" s="56" t="s">
        <v>167</v>
      </c>
      <c r="C74" s="56" t="str">
        <f>'Haver Pivoted'!A73</f>
        <v>lalgova</v>
      </c>
      <c r="D74">
        <v>14270.333333333299</v>
      </c>
      <c r="E74" s="56">
        <f>'Haver Pivoted'!HE73</f>
        <v>14328.666666666701</v>
      </c>
      <c r="F74" s="56">
        <f t="shared" si="2"/>
        <v>58.333333333401242</v>
      </c>
      <c r="G74" s="63">
        <f t="shared" si="3"/>
        <v>4.0877344607741966E-3</v>
      </c>
    </row>
    <row r="75" spans="1:9" x14ac:dyDescent="0.3">
      <c r="A75" s="56" t="s">
        <v>165</v>
      </c>
      <c r="B75" s="56" t="s">
        <v>168</v>
      </c>
      <c r="C75" s="56" t="str">
        <f>'Haver Pivoted'!A74</f>
        <v>cpgs</v>
      </c>
      <c r="D75">
        <v>0</v>
      </c>
      <c r="E75" s="56">
        <f>'Haver Pivoted'!HE74</f>
        <v>353967.66666666698</v>
      </c>
      <c r="F75" s="56">
        <f t="shared" si="2"/>
        <v>353967.66666666698</v>
      </c>
      <c r="G75" s="63" t="e">
        <f t="shared" si="3"/>
        <v>#DIV/0!</v>
      </c>
    </row>
    <row r="76" spans="1:9" x14ac:dyDescent="0.3">
      <c r="B76" s="56" t="s">
        <v>169</v>
      </c>
      <c r="C76" s="56" t="str">
        <f>'Haver Pivoted'!A75</f>
        <v>jgdp_growth</v>
      </c>
      <c r="D76">
        <v>8.5596682154103192E-3</v>
      </c>
      <c r="E76" s="56">
        <f>'Haver Pivoted'!HE75</f>
        <v>9.5575166048207406E-3</v>
      </c>
      <c r="F76" s="51">
        <f t="shared" si="2"/>
        <v>9.9784838941042141E-4</v>
      </c>
      <c r="G76" s="63">
        <f t="shared" si="3"/>
        <v>0.11657559198544101</v>
      </c>
    </row>
    <row r="77" spans="1:9" x14ac:dyDescent="0.3">
      <c r="B77" s="56" t="s">
        <v>170</v>
      </c>
      <c r="C77" s="56" t="str">
        <f>'Haver Pivoted'!A76</f>
        <v>jc_growth</v>
      </c>
      <c r="D77">
        <v>7.7973497091143899E-3</v>
      </c>
      <c r="E77" s="56">
        <f>'Haver Pivoted'!HE76</f>
        <v>9.1144149967679108E-3</v>
      </c>
      <c r="F77" s="51">
        <f t="shared" si="2"/>
        <v>1.3170652876535209E-3</v>
      </c>
      <c r="G77" s="63">
        <f t="shared" si="3"/>
        <v>0.16891191709844589</v>
      </c>
    </row>
    <row r="78" spans="1:9" x14ac:dyDescent="0.3">
      <c r="B78" s="56" t="s">
        <v>171</v>
      </c>
      <c r="C78" s="56" t="str">
        <f>'Haver Pivoted'!A77</f>
        <v>jgf_growth</v>
      </c>
      <c r="D78">
        <v>7.0598040577531896E-3</v>
      </c>
      <c r="E78" s="56">
        <f>'Haver Pivoted'!HE77</f>
        <v>7.6236078540321602E-3</v>
      </c>
      <c r="F78" s="51">
        <f t="shared" si="2"/>
        <v>5.6380379627897059E-4</v>
      </c>
      <c r="G78" s="63">
        <f t="shared" si="3"/>
        <v>7.9861111111121028E-2</v>
      </c>
    </row>
    <row r="79" spans="1:9" x14ac:dyDescent="0.3">
      <c r="B79" s="56" t="s">
        <v>172</v>
      </c>
      <c r="C79" s="56" t="str">
        <f>'Haver Pivoted'!A78</f>
        <v>jgs_growth</v>
      </c>
      <c r="D79">
        <v>7.6714474237569198E-3</v>
      </c>
      <c r="E79" s="56">
        <f>'Haver Pivoted'!HE78</f>
        <v>9.2883971170441004E-3</v>
      </c>
      <c r="F79" s="51">
        <f>E79/D79-1</f>
        <v>0.21077504725898466</v>
      </c>
      <c r="G79" s="63">
        <f t="shared" si="3"/>
        <v>27.475264525212935</v>
      </c>
    </row>
    <row r="80" spans="1:9" x14ac:dyDescent="0.3">
      <c r="B80" s="56" t="s">
        <v>173</v>
      </c>
      <c r="C80" s="56" t="str">
        <f>'Haver Pivoted'!A79</f>
        <v>jgse_growth</v>
      </c>
      <c r="D80">
        <v>6.5767432375349903E-3</v>
      </c>
      <c r="E80" s="56">
        <f>'Haver Pivoted'!HE79</f>
        <v>8.52864488499816E-3</v>
      </c>
      <c r="F80" s="51">
        <f t="shared" si="2"/>
        <v>1.9519016474631697E-3</v>
      </c>
      <c r="G80" s="63">
        <f t="shared" si="3"/>
        <v>0.29678848283497172</v>
      </c>
    </row>
    <row r="81" spans="2:7" x14ac:dyDescent="0.3">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77" zoomScale="115" zoomScaleNormal="115" workbookViewId="0">
      <selection activeCell="E69" sqref="E69"/>
    </sheetView>
  </sheetViews>
  <sheetFormatPr defaultColWidth="10.77734375" defaultRowHeight="14.4" x14ac:dyDescent="0.3"/>
  <cols>
    <col min="2" max="2" width="26.44140625" customWidth="1"/>
    <col min="3" max="3" width="20.21875" customWidth="1"/>
    <col min="4" max="10" width="9.44140625" customWidth="1"/>
  </cols>
  <sheetData>
    <row r="2" spans="2:13" x14ac:dyDescent="0.3">
      <c r="B2" s="1252" t="s">
        <v>1921</v>
      </c>
      <c r="C2" s="1252"/>
      <c r="D2" s="1252"/>
      <c r="E2" s="1252"/>
      <c r="F2" s="1252"/>
      <c r="G2" s="1252"/>
      <c r="H2" s="1252"/>
      <c r="I2" s="1252"/>
      <c r="J2" s="1252"/>
      <c r="K2" s="1252"/>
      <c r="L2" s="1252"/>
      <c r="M2" s="1252"/>
    </row>
    <row r="3" spans="2:13" x14ac:dyDescent="0.3">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
      <c r="B4" t="str">
        <f>forecast!A2</f>
        <v>Consumption Grants</v>
      </c>
      <c r="C4" t="str">
        <f>forecast!B2</f>
        <v>consumption_grants</v>
      </c>
      <c r="D4" s="71">
        <f>forecast!C2</f>
        <v>418.716928</v>
      </c>
      <c r="E4" s="71">
        <f>forecast!D2</f>
        <v>395.55067787919143</v>
      </c>
      <c r="F4" s="71">
        <f>forecast!E2</f>
        <v>399.37536121583202</v>
      </c>
      <c r="G4" s="71">
        <f>forecast!F2</f>
        <v>397.7223326820897</v>
      </c>
      <c r="H4" s="71">
        <f>forecast!G2</f>
        <v>397.59845066666662</v>
      </c>
      <c r="I4" s="71">
        <f>forecast!H2</f>
        <v>385.69919062635915</v>
      </c>
      <c r="J4" s="71">
        <f>forecast!I2</f>
        <v>365.34301490446529</v>
      </c>
      <c r="K4" s="71">
        <f>forecast!J2</f>
        <v>369.30407374937334</v>
      </c>
      <c r="L4" s="71">
        <f>forecast!K2</f>
        <v>373.5511150333333</v>
      </c>
      <c r="M4" s="71">
        <f>forecast!L2</f>
        <v>356.21123877141349</v>
      </c>
    </row>
    <row r="5" spans="2:13" x14ac:dyDescent="0.3">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
      <c r="B7" t="str">
        <f>forecast!A5</f>
        <v>State Purchases (NIPA Consistent)</v>
      </c>
      <c r="C7" t="str">
        <f>forecast!B5</f>
        <v>state_purchases</v>
      </c>
      <c r="D7" s="71">
        <f>forecast!C5</f>
        <v>2878.7</v>
      </c>
      <c r="E7" s="71">
        <f>forecast!D5</f>
        <v>2907.7767650029605</v>
      </c>
      <c r="F7" s="71">
        <f>forecast!E5</f>
        <v>2940.4630594545642</v>
      </c>
      <c r="G7" s="71">
        <f>forecast!F5</f>
        <v>2978.4633833722264</v>
      </c>
      <c r="H7" s="71">
        <f>forecast!G5</f>
        <v>3010.8488837031105</v>
      </c>
      <c r="I7" s="71">
        <f>forecast!H5</f>
        <v>3042.4322663787398</v>
      </c>
      <c r="J7" s="71">
        <f>forecast!I5</f>
        <v>3070.6066490195394</v>
      </c>
      <c r="K7" s="71">
        <f>forecast!J5</f>
        <v>3098.279708125805</v>
      </c>
      <c r="L7" s="71">
        <f>forecast!K5</f>
        <v>3125.8525025251643</v>
      </c>
      <c r="M7" s="71">
        <f>forecast!L5</f>
        <v>3154.4279439935913</v>
      </c>
    </row>
    <row r="8" spans="2:13" x14ac:dyDescent="0.3">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
      <c r="B10" t="str">
        <f>forecast!A8</f>
        <v>Federal UI</v>
      </c>
      <c r="C10" t="str">
        <f>forecast!B8</f>
        <v>federal_ui</v>
      </c>
      <c r="D10" s="71">
        <f>forecast!C8</f>
        <v>0.30000000000000071</v>
      </c>
      <c r="E10" s="71">
        <f>forecast!D8</f>
        <v>0.33575000000000088</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
      <c r="B11" t="str">
        <f>forecast!A9</f>
        <v>State UI</v>
      </c>
      <c r="C11" t="str">
        <f>forecast!B9</f>
        <v>state_ui</v>
      </c>
      <c r="D11" s="71">
        <f>forecast!C9</f>
        <v>20.099999999999998</v>
      </c>
      <c r="E11" s="71">
        <f>forecast!D9</f>
        <v>22.495249999999995</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
      <c r="B12" t="str">
        <f>forecast!A10</f>
        <v>Federal Medicaid</v>
      </c>
      <c r="C12" t="str">
        <f>forecast!B10</f>
        <v>medicaid_grants</v>
      </c>
      <c r="D12" s="71">
        <f>forecast!C10</f>
        <v>604.87400000000002</v>
      </c>
      <c r="E12" s="71">
        <f>forecast!D10</f>
        <v>607.40230668028107</v>
      </c>
      <c r="F12" s="71">
        <f>forecast!E10</f>
        <v>589.55996124169314</v>
      </c>
      <c r="G12" s="71">
        <f>forecast!F10</f>
        <v>572.32620043872669</v>
      </c>
      <c r="H12" s="71">
        <f>forecast!G10</f>
        <v>565.35156818531721</v>
      </c>
      <c r="I12" s="71">
        <f>forecast!H10</f>
        <v>558.88844569073513</v>
      </c>
      <c r="J12" s="71">
        <f>forecast!I10</f>
        <v>552.4992098796447</v>
      </c>
      <c r="K12" s="71">
        <f>forecast!J10</f>
        <v>546.18301607642627</v>
      </c>
      <c r="L12" s="71">
        <f>forecast!K10</f>
        <v>536.24818151910517</v>
      </c>
      <c r="M12" s="71">
        <f>forecast!L10</f>
        <v>530.11777014379129</v>
      </c>
    </row>
    <row r="13" spans="2:13" x14ac:dyDescent="0.3">
      <c r="B13" t="str">
        <f>forecast!A11</f>
        <v>Total Medicaid</v>
      </c>
      <c r="C13" t="str">
        <f>forecast!B11</f>
        <v>medicaid</v>
      </c>
      <c r="D13" s="71">
        <f>forecast!C11</f>
        <v>793.3</v>
      </c>
      <c r="E13" s="71">
        <f>forecast!D11</f>
        <v>796.61590660115485</v>
      </c>
      <c r="F13" s="71">
        <f>forecast!E11</f>
        <v>799.94567332658505</v>
      </c>
      <c r="G13" s="71">
        <f>forecast!F11</f>
        <v>803.28935811008296</v>
      </c>
      <c r="H13" s="71">
        <f>forecast!G11</f>
        <v>794.10612096664613</v>
      </c>
      <c r="I13" s="71">
        <f>forecast!H11</f>
        <v>785.02786696979422</v>
      </c>
      <c r="J13" s="71">
        <f>forecast!I11</f>
        <v>776.05339594785642</v>
      </c>
      <c r="K13" s="71">
        <f>forecast!J11</f>
        <v>767.18152144957389</v>
      </c>
      <c r="L13" s="71">
        <f>forecast!K11</f>
        <v>758.41107058724765</v>
      </c>
      <c r="M13" s="71">
        <f>forecast!L11</f>
        <v>749.74088388167945</v>
      </c>
    </row>
    <row r="14" spans="2:13" x14ac:dyDescent="0.3">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
      <c r="B19" t="str">
        <f>forecast!A17</f>
        <v>Other Federal Social Benefits (including all SNAP)</v>
      </c>
      <c r="C19" t="str">
        <f>forecast!B17</f>
        <v>federal_social_benefits</v>
      </c>
      <c r="D19" s="71">
        <f>forecast!C17</f>
        <v>1906.4740000000004</v>
      </c>
      <c r="E19" s="71">
        <f>forecast!D17</f>
        <v>1956.2617930000004</v>
      </c>
      <c r="F19" s="71">
        <f>forecast!E17</f>
        <v>1963.2617930000004</v>
      </c>
      <c r="G19" s="71">
        <f>forecast!F17</f>
        <v>1970.2617930000004</v>
      </c>
      <c r="H19" s="71">
        <f>forecast!G17</f>
        <v>1970.8107930000003</v>
      </c>
      <c r="I19" s="71">
        <f>forecast!H17</f>
        <v>2020.2193190362004</v>
      </c>
      <c r="J19" s="71">
        <f>forecast!I17</f>
        <v>2027.2193190362004</v>
      </c>
      <c r="K19" s="71">
        <f>forecast!J17</f>
        <v>2034.2193190362004</v>
      </c>
      <c r="L19" s="71">
        <f>forecast!K17</f>
        <v>2042.7473190362005</v>
      </c>
      <c r="M19" s="71">
        <f>forecast!L17</f>
        <v>2079.2347167408166</v>
      </c>
    </row>
    <row r="20" spans="2:13" x14ac:dyDescent="0.3">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
      <c r="B21" t="str">
        <f>forecast!A19</f>
        <v>Federal Non-Corporate Taxes</v>
      </c>
      <c r="C21" t="str">
        <f>forecast!B19</f>
        <v>federal_non_corporate_taxes</v>
      </c>
      <c r="D21" s="71">
        <f>forecast!C19</f>
        <v>4546</v>
      </c>
      <c r="E21" s="71">
        <f>forecast!D19</f>
        <v>4484.8338396206082</v>
      </c>
      <c r="F21" s="71">
        <f>forecast!E19</f>
        <v>4475.1256243972575</v>
      </c>
      <c r="G21" s="71">
        <f>forecast!F19</f>
        <v>4465.8739335289974</v>
      </c>
      <c r="H21" s="71">
        <f>forecast!G19</f>
        <v>4478.3368458791647</v>
      </c>
      <c r="I21" s="71">
        <f>forecast!H19</f>
        <v>4486.1153485047389</v>
      </c>
      <c r="J21" s="71">
        <f>forecast!I19</f>
        <v>4494.2116295943742</v>
      </c>
      <c r="K21" s="71">
        <f>forecast!J19</f>
        <v>4502.6279087443791</v>
      </c>
      <c r="L21" s="71">
        <f>forecast!K19</f>
        <v>4532.842930779605</v>
      </c>
      <c r="M21" s="71">
        <f>forecast!L19</f>
        <v>4563.3094931572341</v>
      </c>
    </row>
    <row r="22" spans="2:13" x14ac:dyDescent="0.3">
      <c r="B22" t="str">
        <f>forecast!A20</f>
        <v>State Non-Corporate Taxes</v>
      </c>
      <c r="C22" t="str">
        <f>forecast!B20</f>
        <v>state_non_corporate_taxes</v>
      </c>
      <c r="D22" s="71">
        <f>forecast!C20</f>
        <v>2199.6</v>
      </c>
      <c r="E22" s="71">
        <f>forecast!D20</f>
        <v>2226.1294937253679</v>
      </c>
      <c r="F22" s="71">
        <f>forecast!E20</f>
        <v>2250.9709737525445</v>
      </c>
      <c r="G22" s="71">
        <f>forecast!F20</f>
        <v>2276.4323222605917</v>
      </c>
      <c r="H22" s="71">
        <f>forecast!G20</f>
        <v>2302.0361619190921</v>
      </c>
      <c r="I22" s="71">
        <f>forecast!H20</f>
        <v>2325.7222045243498</v>
      </c>
      <c r="J22" s="71">
        <f>forecast!I20</f>
        <v>2348.6593465954388</v>
      </c>
      <c r="K22" s="71">
        <f>forecast!J20</f>
        <v>2371.5043954523735</v>
      </c>
      <c r="L22" s="71">
        <f>forecast!K20</f>
        <v>2395.3037749815721</v>
      </c>
      <c r="M22" s="71">
        <f>forecast!L20</f>
        <v>2419.8446359260029</v>
      </c>
    </row>
    <row r="23" spans="2:13" x14ac:dyDescent="0.3">
      <c r="B23" t="str">
        <f>forecast!A21</f>
        <v>Federal Corporate Taxes</v>
      </c>
      <c r="C23" t="str">
        <f>forecast!B21</f>
        <v>federal_corporate_taxes</v>
      </c>
      <c r="D23" s="71">
        <f>forecast!C21</f>
        <v>350.30119606059549</v>
      </c>
      <c r="E23" s="71">
        <f>forecast!D21</f>
        <v>360.27870804898345</v>
      </c>
      <c r="F23" s="71">
        <f>forecast!E21</f>
        <v>370.54040617946271</v>
      </c>
      <c r="G23" s="71">
        <f>forecast!F21</f>
        <v>381.09438483101775</v>
      </c>
      <c r="H23" s="71">
        <f>forecast!G21</f>
        <v>381.72153892635089</v>
      </c>
      <c r="I23" s="71">
        <f>forecast!H21</f>
        <v>382.34972510789402</v>
      </c>
      <c r="J23" s="71">
        <f>forecast!I21</f>
        <v>382.97894507411644</v>
      </c>
      <c r="K23" s="71">
        <f>forecast!J21</f>
        <v>383.60920052628245</v>
      </c>
      <c r="L23" s="71">
        <f>forecast!K21</f>
        <v>385.61244152866738</v>
      </c>
      <c r="M23" s="71">
        <f>forecast!L21</f>
        <v>400.52681927840081</v>
      </c>
    </row>
    <row r="24" spans="2:13" x14ac:dyDescent="0.3">
      <c r="B24" t="str">
        <f>forecast!A22</f>
        <v>State Corporate Taxes</v>
      </c>
      <c r="C24" s="35" t="str">
        <f>forecast!B22</f>
        <v>state_corporate_taxes</v>
      </c>
      <c r="D24" s="71">
        <f>forecast!C22</f>
        <v>95.360546952748706</v>
      </c>
      <c r="E24" s="71">
        <f>forecast!D22</f>
        <v>88.958815333784486</v>
      </c>
      <c r="F24" s="71">
        <f>forecast!E22</f>
        <v>83.91599856693604</v>
      </c>
      <c r="G24" s="71">
        <f>forecast!F22</f>
        <v>81.073902312806027</v>
      </c>
      <c r="H24" s="71">
        <f>forecast!G22</f>
        <v>78.997448349986072</v>
      </c>
      <c r="I24" s="71">
        <f>forecast!H22</f>
        <v>79.891365789578444</v>
      </c>
      <c r="J24" s="71">
        <f>forecast!I22</f>
        <v>81.322435412602999</v>
      </c>
      <c r="K24" s="71">
        <f>forecast!J22</f>
        <v>83.346777596433256</v>
      </c>
      <c r="L24" s="71">
        <f>forecast!K22</f>
        <v>86.228959834401508</v>
      </c>
      <c r="M24" s="71">
        <f>forecast!L22</f>
        <v>89.010927112774183</v>
      </c>
    </row>
    <row r="25" spans="2:13" x14ac:dyDescent="0.3">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
      <c r="B27" s="1252" t="s">
        <v>1920</v>
      </c>
      <c r="C27" s="1252"/>
      <c r="D27" s="1252"/>
      <c r="E27" s="1252"/>
      <c r="F27" s="1252"/>
      <c r="G27" s="1252"/>
      <c r="H27" s="1252"/>
      <c r="I27" s="1252"/>
      <c r="J27" s="1252"/>
      <c r="K27" s="1252"/>
      <c r="L27" s="1252"/>
      <c r="M27" s="1252"/>
    </row>
    <row r="28" spans="2:13" x14ac:dyDescent="0.3">
      <c r="B28" t="s">
        <v>178</v>
      </c>
      <c r="C28" t="s">
        <v>179</v>
      </c>
      <c r="D28" t="s">
        <v>185</v>
      </c>
      <c r="E28" t="s">
        <v>186</v>
      </c>
      <c r="F28" t="s">
        <v>187</v>
      </c>
      <c r="G28" t="s">
        <v>188</v>
      </c>
      <c r="H28" t="s">
        <v>189</v>
      </c>
      <c r="I28" t="s">
        <v>190</v>
      </c>
      <c r="J28" t="s">
        <v>191</v>
      </c>
      <c r="K28" t="s">
        <v>175</v>
      </c>
      <c r="L28" t="s">
        <v>176</v>
      </c>
      <c r="M28" t="s">
        <v>177</v>
      </c>
    </row>
    <row r="29" spans="2:13" x14ac:dyDescent="0.3">
      <c r="B29" t="s">
        <v>192</v>
      </c>
      <c r="C29" t="s">
        <v>193</v>
      </c>
      <c r="D29" s="71">
        <v>419.69592800000004</v>
      </c>
      <c r="E29" s="71">
        <v>396.53932436420291</v>
      </c>
      <c r="F29" s="71">
        <v>400.37374923659348</v>
      </c>
      <c r="G29" s="71">
        <v>398.73055822591346</v>
      </c>
      <c r="H29" s="71">
        <v>398.6166106666667</v>
      </c>
      <c r="I29" s="71">
        <v>386.72738297077103</v>
      </c>
      <c r="J29" s="71">
        <v>366.38133844605721</v>
      </c>
      <c r="K29" s="71">
        <v>370.35262831494998</v>
      </c>
      <c r="L29" s="71">
        <v>374.61000143333331</v>
      </c>
      <c r="M29" s="71">
        <v>357.28055880960187</v>
      </c>
    </row>
    <row r="30" spans="2:13" x14ac:dyDescent="0.3">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
      <c r="B31" t="s">
        <v>195</v>
      </c>
      <c r="C31" t="s">
        <v>196</v>
      </c>
      <c r="D31" s="71">
        <v>1693.9</v>
      </c>
      <c r="E31" s="71">
        <v>1711.593516628647</v>
      </c>
      <c r="F31" s="71">
        <v>1727.6600432224757</v>
      </c>
      <c r="G31" s="71">
        <v>1750.1328430784008</v>
      </c>
      <c r="H31" s="71">
        <v>1770.0634710049226</v>
      </c>
      <c r="I31" s="71">
        <v>1787.8586745107455</v>
      </c>
      <c r="J31" s="71">
        <v>1804.1285748589264</v>
      </c>
      <c r="K31" s="71">
        <v>1820.6018489614596</v>
      </c>
      <c r="L31" s="71">
        <v>1835.9565674150556</v>
      </c>
      <c r="M31" s="71">
        <v>1849.6842958338334</v>
      </c>
    </row>
    <row r="32" spans="2:13" x14ac:dyDescent="0.3">
      <c r="B32" t="s">
        <v>197</v>
      </c>
      <c r="C32" t="s">
        <v>198</v>
      </c>
      <c r="D32" s="71">
        <v>2874.1</v>
      </c>
      <c r="E32" s="71">
        <v>2903.130301974853</v>
      </c>
      <c r="F32" s="71">
        <v>2935.7643655741699</v>
      </c>
      <c r="G32" s="71">
        <v>2973.7039671206157</v>
      </c>
      <c r="H32" s="71">
        <v>3006.0377172512281</v>
      </c>
      <c r="I32" s="71">
        <v>3037.5706314652921</v>
      </c>
      <c r="J32" s="71">
        <v>3065.6999930340289</v>
      </c>
      <c r="K32" s="71">
        <v>3093.328832154923</v>
      </c>
      <c r="L32" s="71">
        <v>3120.8575667862492</v>
      </c>
      <c r="M32" s="71">
        <v>3146.1</v>
      </c>
    </row>
    <row r="33" spans="2:13" x14ac:dyDescent="0.3">
      <c r="B33" t="s">
        <v>199</v>
      </c>
      <c r="C33" t="s">
        <v>200</v>
      </c>
      <c r="D33" s="71">
        <v>94.873999999999995</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
      <c r="B35" t="s">
        <v>203</v>
      </c>
      <c r="C35" t="s">
        <v>204</v>
      </c>
      <c r="D35" s="71">
        <v>0.39999999999999858</v>
      </c>
      <c r="E35" s="71">
        <v>0.45544444444444565</v>
      </c>
      <c r="F35" s="71">
        <v>0.51099999999999923</v>
      </c>
      <c r="G35" s="71">
        <v>0.54433333333333422</v>
      </c>
      <c r="H35" s="71">
        <v>0.56822222222222152</v>
      </c>
      <c r="I35" s="71">
        <v>0.56655555555555637</v>
      </c>
      <c r="J35" s="71">
        <v>0.54922222222222317</v>
      </c>
      <c r="K35" s="71">
        <v>0.53988888888888908</v>
      </c>
      <c r="L35" s="71">
        <v>0.53322222222222138</v>
      </c>
      <c r="M35" s="71">
        <v>0.53066666666666507</v>
      </c>
    </row>
    <row r="36" spans="2:13" x14ac:dyDescent="0.3">
      <c r="B36" t="s">
        <v>205</v>
      </c>
      <c r="C36" t="s">
        <v>206</v>
      </c>
      <c r="D36" s="71">
        <v>20</v>
      </c>
      <c r="E36" s="71">
        <v>22.772222222222222</v>
      </c>
      <c r="F36" s="71">
        <v>25.549999999999997</v>
      </c>
      <c r="G36" s="71">
        <v>27.216666666666661</v>
      </c>
      <c r="H36" s="71">
        <v>28.411111111111108</v>
      </c>
      <c r="I36" s="71">
        <v>28.327777777777776</v>
      </c>
      <c r="J36" s="71">
        <v>27.461111111111109</v>
      </c>
      <c r="K36" s="71">
        <v>26.994444444444444</v>
      </c>
      <c r="L36" s="71">
        <v>26.661111111111111</v>
      </c>
      <c r="M36" s="71">
        <v>26.533333333333331</v>
      </c>
    </row>
    <row r="37" spans="2:13" x14ac:dyDescent="0.3">
      <c r="B37" t="s">
        <v>207</v>
      </c>
      <c r="C37" t="s">
        <v>208</v>
      </c>
      <c r="D37" s="71">
        <v>604.79499999999996</v>
      </c>
      <c r="E37" s="71">
        <v>606.05037285109495</v>
      </c>
      <c r="F37" s="71">
        <v>580.65323903901697</v>
      </c>
      <c r="G37" s="71">
        <v>569.0941447642507</v>
      </c>
      <c r="H37" s="71">
        <v>561.70373395965726</v>
      </c>
      <c r="I37" s="71">
        <v>554.82780470342925</v>
      </c>
      <c r="J37" s="71">
        <v>548.03604509087336</v>
      </c>
      <c r="K37" s="71">
        <v>541.32742478432147</v>
      </c>
      <c r="L37" s="71">
        <v>531.08827601622306</v>
      </c>
      <c r="M37" s="71">
        <v>524.58711678596967</v>
      </c>
    </row>
    <row r="38" spans="2:13" x14ac:dyDescent="0.3">
      <c r="B38" t="s">
        <v>209</v>
      </c>
      <c r="C38" t="s">
        <v>210</v>
      </c>
      <c r="D38" s="71">
        <v>784.6</v>
      </c>
      <c r="E38" s="71">
        <v>786.22859405082568</v>
      </c>
      <c r="F38" s="71">
        <v>787.86056857397148</v>
      </c>
      <c r="G38" s="71">
        <v>789.49593058628307</v>
      </c>
      <c r="H38" s="71">
        <v>779.83155088112517</v>
      </c>
      <c r="I38" s="71">
        <v>770.28547480676127</v>
      </c>
      <c r="J38" s="71">
        <v>760.85625418446853</v>
      </c>
      <c r="K38" s="71">
        <v>751.54245856297325</v>
      </c>
      <c r="L38" s="71">
        <v>742.34267500144574</v>
      </c>
      <c r="M38" s="71">
        <v>733.25550785515156</v>
      </c>
    </row>
    <row r="39" spans="2:13" x14ac:dyDescent="0.3">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
      <c r="B40" t="s">
        <v>212</v>
      </c>
      <c r="C40" t="s">
        <v>213</v>
      </c>
      <c r="D40" s="71">
        <v>0</v>
      </c>
      <c r="E40" s="71">
        <v>0</v>
      </c>
      <c r="F40" s="71">
        <v>0</v>
      </c>
      <c r="G40" s="71">
        <v>0</v>
      </c>
      <c r="H40" s="71">
        <v>0</v>
      </c>
      <c r="I40" s="71">
        <v>0</v>
      </c>
      <c r="J40" s="71">
        <v>0</v>
      </c>
      <c r="K40" s="71">
        <v>0</v>
      </c>
      <c r="L40" s="71">
        <v>0</v>
      </c>
      <c r="M40" s="71">
        <v>0</v>
      </c>
    </row>
    <row r="41" spans="2:13" x14ac:dyDescent="0.3">
      <c r="B41" t="s">
        <v>214</v>
      </c>
      <c r="C41" t="s">
        <v>215</v>
      </c>
      <c r="D41" s="71">
        <v>0</v>
      </c>
      <c r="E41" s="71">
        <v>0</v>
      </c>
      <c r="F41" s="71">
        <v>0</v>
      </c>
      <c r="G41" s="71">
        <v>0</v>
      </c>
      <c r="H41" s="71">
        <v>0</v>
      </c>
      <c r="I41" s="71">
        <v>0</v>
      </c>
      <c r="J41" s="71">
        <v>0</v>
      </c>
      <c r="K41" s="71">
        <v>0</v>
      </c>
      <c r="L41" s="71">
        <v>0</v>
      </c>
      <c r="M41" s="71">
        <v>0</v>
      </c>
    </row>
    <row r="42" spans="2:13" x14ac:dyDescent="0.3">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
      <c r="B44" t="s">
        <v>220</v>
      </c>
      <c r="C44" t="s">
        <v>221</v>
      </c>
      <c r="D44" s="71">
        <v>1903.3740000000003</v>
      </c>
      <c r="E44" s="71">
        <v>1953.929241</v>
      </c>
      <c r="F44" s="71">
        <v>1960.929241</v>
      </c>
      <c r="G44" s="71">
        <v>1967.929241</v>
      </c>
      <c r="H44" s="71">
        <v>1968.478241</v>
      </c>
      <c r="I44" s="71">
        <v>2013.4377810000001</v>
      </c>
      <c r="J44" s="71">
        <v>2020.4377810000001</v>
      </c>
      <c r="K44" s="71">
        <v>2027.4377810000001</v>
      </c>
      <c r="L44" s="71">
        <v>2035.9657810000001</v>
      </c>
      <c r="M44" s="71">
        <v>2068.9121410000002</v>
      </c>
    </row>
    <row r="45" spans="2:13" x14ac:dyDescent="0.3">
      <c r="B45" t="s">
        <v>222</v>
      </c>
      <c r="C45" t="s">
        <v>223</v>
      </c>
      <c r="D45" s="71">
        <v>249.10000000000002</v>
      </c>
      <c r="E45" s="71">
        <v>182.96282157770224</v>
      </c>
      <c r="F45" s="71">
        <v>185.80004652795367</v>
      </c>
      <c r="G45" s="71">
        <v>188.68126864303298</v>
      </c>
      <c r="H45" s="71">
        <v>191.60717019189906</v>
      </c>
      <c r="I45" s="71">
        <v>194.57844402353186</v>
      </c>
      <c r="J45" s="71">
        <v>197.59579373099803</v>
      </c>
      <c r="K45" s="71">
        <v>200.65993381806064</v>
      </c>
      <c r="L45" s="71">
        <v>203.77158986837259</v>
      </c>
      <c r="M45" s="71">
        <v>206.93149871729366</v>
      </c>
    </row>
    <row r="46" spans="2:13" x14ac:dyDescent="0.3">
      <c r="B46" t="s">
        <v>224</v>
      </c>
      <c r="C46" t="s">
        <v>225</v>
      </c>
      <c r="D46" s="71">
        <v>4528.8</v>
      </c>
      <c r="E46" s="71">
        <v>4467.3739968285072</v>
      </c>
      <c r="F46" s="71">
        <v>4457.4043214546246</v>
      </c>
      <c r="G46" s="71">
        <v>4447.8895270730181</v>
      </c>
      <c r="H46" s="71">
        <v>4460.0815040789694</v>
      </c>
      <c r="I46" s="71">
        <v>4467.5864561878179</v>
      </c>
      <c r="J46" s="71">
        <v>4475.4065403252825</v>
      </c>
      <c r="K46" s="71">
        <v>4483.5439444895819</v>
      </c>
      <c r="L46" s="71">
        <v>4513.5325415378738</v>
      </c>
      <c r="M46" s="71">
        <v>4543.7701819739486</v>
      </c>
    </row>
    <row r="47" spans="2:13" x14ac:dyDescent="0.3">
      <c r="B47" t="s">
        <v>226</v>
      </c>
      <c r="C47" t="s">
        <v>227</v>
      </c>
      <c r="D47" s="71">
        <v>2205.8000000000002</v>
      </c>
      <c r="E47" s="71">
        <v>2232.4070379024242</v>
      </c>
      <c r="F47" s="71">
        <v>2257.3320679704652</v>
      </c>
      <c r="G47" s="71">
        <v>2282.8714249965174</v>
      </c>
      <c r="H47" s="71">
        <v>2308.5582874457068</v>
      </c>
      <c r="I47" s="71">
        <v>2332.3157040423512</v>
      </c>
      <c r="J47" s="71">
        <v>2355.3202036226157</v>
      </c>
      <c r="K47" s="71">
        <v>2378.2329159267574</v>
      </c>
      <c r="L47" s="71">
        <v>2402.1008683516784</v>
      </c>
      <c r="M47" s="71">
        <v>2426.7126329151943</v>
      </c>
    </row>
    <row r="48" spans="2:13" x14ac:dyDescent="0.3">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
      <c r="D51" s="70"/>
      <c r="E51" s="70"/>
      <c r="F51" s="70"/>
      <c r="G51" s="70"/>
      <c r="H51" s="70"/>
      <c r="I51" s="70"/>
      <c r="J51" s="70"/>
      <c r="K51" s="70"/>
      <c r="L51" s="70"/>
      <c r="M51" s="70"/>
    </row>
    <row r="52" spans="2:13" x14ac:dyDescent="0.3">
      <c r="B52" s="1252" t="s">
        <v>232</v>
      </c>
      <c r="C52" s="1252"/>
      <c r="D52" s="1252"/>
      <c r="E52" s="1252"/>
      <c r="F52" s="1252"/>
      <c r="G52" s="1252"/>
      <c r="H52" s="1252"/>
      <c r="I52" s="1252"/>
      <c r="J52" s="1252"/>
      <c r="K52" s="1252"/>
      <c r="L52" s="1252"/>
      <c r="M52" s="1252"/>
    </row>
    <row r="53" spans="2:13" x14ac:dyDescent="0.3">
      <c r="B53" t="s">
        <v>178</v>
      </c>
      <c r="C53" t="s">
        <v>179</v>
      </c>
      <c r="D53" t="s">
        <v>185</v>
      </c>
      <c r="E53" t="s">
        <v>186</v>
      </c>
      <c r="F53" t="s">
        <v>187</v>
      </c>
      <c r="G53" t="s">
        <v>188</v>
      </c>
      <c r="H53" t="s">
        <v>189</v>
      </c>
      <c r="I53" t="s">
        <v>190</v>
      </c>
      <c r="J53" t="s">
        <v>191</v>
      </c>
      <c r="K53" t="s">
        <v>175</v>
      </c>
      <c r="L53" t="s">
        <v>176</v>
      </c>
      <c r="M53" t="s">
        <v>177</v>
      </c>
    </row>
    <row r="54" spans="2:13" x14ac:dyDescent="0.3">
      <c r="B54" s="35" t="s">
        <v>192</v>
      </c>
      <c r="C54" s="35" t="s">
        <v>193</v>
      </c>
      <c r="D54" s="71">
        <f t="shared" ref="D54:M54" si="0">D4-D29</f>
        <v>-0.97900000000004184</v>
      </c>
      <c r="E54" s="71">
        <f t="shared" si="0"/>
        <v>-0.98864648501148622</v>
      </c>
      <c r="F54" s="71">
        <f t="shared" si="0"/>
        <v>-0.99838802076146749</v>
      </c>
      <c r="G54" s="71">
        <f t="shared" si="0"/>
        <v>-1.0082255438237553</v>
      </c>
      <c r="H54" s="71">
        <f t="shared" si="0"/>
        <v>-1.0181600000000799</v>
      </c>
      <c r="I54" s="71">
        <f t="shared" si="0"/>
        <v>-1.0281923444118775</v>
      </c>
      <c r="J54" s="71">
        <f t="shared" si="0"/>
        <v>-1.0383235415919216</v>
      </c>
      <c r="K54" s="71">
        <f t="shared" si="0"/>
        <v>-1.0485545655766373</v>
      </c>
      <c r="L54" s="71">
        <f t="shared" si="0"/>
        <v>-1.0588864000000058</v>
      </c>
      <c r="M54" s="71">
        <f t="shared" si="0"/>
        <v>-1.0693200381883798</v>
      </c>
    </row>
    <row r="55" spans="2:13" x14ac:dyDescent="0.3">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
      <c r="B56" s="35" t="s">
        <v>195</v>
      </c>
      <c r="C56" s="35" t="s">
        <v>196</v>
      </c>
      <c r="D56" s="71">
        <f t="shared" ref="D56:M56" si="2">D6-D31</f>
        <v>-0.10000000000013642</v>
      </c>
      <c r="E56" s="71">
        <f t="shared" si="2"/>
        <v>-0.10104454316274314</v>
      </c>
      <c r="F56" s="71">
        <f t="shared" si="2"/>
        <v>-0.10199303637932644</v>
      </c>
      <c r="G56" s="71">
        <f t="shared" si="2"/>
        <v>-0.10331972625817798</v>
      </c>
      <c r="H56" s="71">
        <f t="shared" si="2"/>
        <v>-0.10449633809616898</v>
      </c>
      <c r="I56" s="71">
        <f t="shared" si="2"/>
        <v>-0.10554688438014637</v>
      </c>
      <c r="J56" s="71">
        <f t="shared" si="2"/>
        <v>-0.10650738383992575</v>
      </c>
      <c r="K56" s="71">
        <f t="shared" si="2"/>
        <v>-0.10747988954290122</v>
      </c>
      <c r="L56" s="71">
        <f t="shared" si="2"/>
        <v>-0.10838636090807086</v>
      </c>
      <c r="M56" s="71">
        <f t="shared" si="2"/>
        <v>-0.10919678232721708</v>
      </c>
    </row>
    <row r="57" spans="2:13" x14ac:dyDescent="0.3">
      <c r="B57" s="35" t="s">
        <v>197</v>
      </c>
      <c r="C57" s="35" t="s">
        <v>198</v>
      </c>
      <c r="D57" s="71">
        <f t="shared" ref="D57:M57" si="3">D7-D32</f>
        <v>4.5999999999999091</v>
      </c>
      <c r="E57" s="71">
        <f t="shared" si="3"/>
        <v>4.6464630281075188</v>
      </c>
      <c r="F57" s="71">
        <f t="shared" si="3"/>
        <v>4.6986938803943303</v>
      </c>
      <c r="G57" s="71">
        <f t="shared" si="3"/>
        <v>4.7594162516106735</v>
      </c>
      <c r="H57" s="71">
        <f t="shared" si="3"/>
        <v>4.8111664518824</v>
      </c>
      <c r="I57" s="71">
        <f t="shared" si="3"/>
        <v>4.8616349134476877</v>
      </c>
      <c r="J57" s="71">
        <f t="shared" si="3"/>
        <v>4.906655985510497</v>
      </c>
      <c r="K57" s="71">
        <f t="shared" si="3"/>
        <v>4.9508759708819525</v>
      </c>
      <c r="L57" s="71">
        <f t="shared" si="3"/>
        <v>4.9949357389150464</v>
      </c>
      <c r="M57" s="71">
        <f t="shared" si="3"/>
        <v>8.3279439935913615</v>
      </c>
    </row>
    <row r="58" spans="2:13" x14ac:dyDescent="0.3">
      <c r="B58" s="35" t="s">
        <v>199</v>
      </c>
      <c r="C58" s="35" t="s">
        <v>200</v>
      </c>
      <c r="D58" s="71">
        <f t="shared" ref="D58:M58" si="4">D8-D33</f>
        <v>3.2000000000000028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
      <c r="B60" s="35" t="s">
        <v>203</v>
      </c>
      <c r="C60" s="35" t="s">
        <v>204</v>
      </c>
      <c r="D60" s="71">
        <f t="shared" ref="D60:M60" si="6">D10-D35</f>
        <v>-9.9999999999997868E-2</v>
      </c>
      <c r="E60" s="71">
        <f t="shared" si="6"/>
        <v>-0.11969444444444477</v>
      </c>
      <c r="F60" s="71">
        <f t="shared" si="6"/>
        <v>-0.12774999999999892</v>
      </c>
      <c r="G60" s="71">
        <f t="shared" si="6"/>
        <v>-0.13608333333333533</v>
      </c>
      <c r="H60" s="71">
        <f t="shared" si="6"/>
        <v>-0.14205555555555449</v>
      </c>
      <c r="I60" s="71">
        <f t="shared" si="6"/>
        <v>-0.1416388888888882</v>
      </c>
      <c r="J60" s="71">
        <f t="shared" si="6"/>
        <v>-0.13730555555555668</v>
      </c>
      <c r="K60" s="71">
        <f t="shared" si="6"/>
        <v>-0.13497222222222405</v>
      </c>
      <c r="L60" s="71">
        <f t="shared" si="6"/>
        <v>-0.13330555555555534</v>
      </c>
      <c r="M60" s="71">
        <f t="shared" si="6"/>
        <v>-0.13266666666666538</v>
      </c>
    </row>
    <row r="61" spans="2:13" x14ac:dyDescent="0.3">
      <c r="B61" s="35" t="s">
        <v>205</v>
      </c>
      <c r="C61" s="35" t="s">
        <v>206</v>
      </c>
      <c r="D61" s="71">
        <f t="shared" ref="D61:M61" si="7">D11-D36</f>
        <v>9.9999999999997868E-2</v>
      </c>
      <c r="E61" s="71">
        <f t="shared" si="7"/>
        <v>-0.27697222222222706</v>
      </c>
      <c r="F61" s="71">
        <f t="shared" si="7"/>
        <v>0.12774999999999892</v>
      </c>
      <c r="G61" s="71">
        <f t="shared" si="7"/>
        <v>0.13608333333333178</v>
      </c>
      <c r="H61" s="71">
        <f t="shared" si="7"/>
        <v>0.14205555555555094</v>
      </c>
      <c r="I61" s="71">
        <f t="shared" si="7"/>
        <v>0.14163888888888465</v>
      </c>
      <c r="J61" s="71">
        <f t="shared" si="7"/>
        <v>0.13730555555554957</v>
      </c>
      <c r="K61" s="71">
        <f t="shared" si="7"/>
        <v>0.13497222222221339</v>
      </c>
      <c r="L61" s="71">
        <f t="shared" si="7"/>
        <v>0.13330555555554469</v>
      </c>
      <c r="M61" s="71">
        <f t="shared" si="7"/>
        <v>0.13266666666665472</v>
      </c>
    </row>
    <row r="62" spans="2:13" x14ac:dyDescent="0.3">
      <c r="B62" s="35" t="s">
        <v>207</v>
      </c>
      <c r="C62" s="35" t="s">
        <v>208</v>
      </c>
      <c r="D62" s="71">
        <f t="shared" ref="D62:M62" si="8">D12-D37</f>
        <v>7.9000000000064574E-2</v>
      </c>
      <c r="E62" s="71">
        <f t="shared" si="8"/>
        <v>1.3519338291861231</v>
      </c>
      <c r="F62" s="71">
        <f t="shared" si="8"/>
        <v>8.9067222026761783</v>
      </c>
      <c r="G62" s="71">
        <f t="shared" si="8"/>
        <v>3.232055674475987</v>
      </c>
      <c r="H62" s="71">
        <f t="shared" si="8"/>
        <v>3.647834225659949</v>
      </c>
      <c r="I62" s="71">
        <f t="shared" si="8"/>
        <v>4.0606409873058738</v>
      </c>
      <c r="J62" s="71">
        <f t="shared" si="8"/>
        <v>4.463164788771337</v>
      </c>
      <c r="K62" s="71">
        <f t="shared" si="8"/>
        <v>4.8555912921048048</v>
      </c>
      <c r="L62" s="71">
        <f t="shared" si="8"/>
        <v>5.1599055028821113</v>
      </c>
      <c r="M62" s="71">
        <f t="shared" si="8"/>
        <v>5.5306533578216204</v>
      </c>
    </row>
    <row r="63" spans="2:13" x14ac:dyDescent="0.3">
      <c r="B63" s="35" t="s">
        <v>209</v>
      </c>
      <c r="C63" s="35" t="s">
        <v>210</v>
      </c>
      <c r="D63" s="71">
        <f t="shared" ref="D63:M63" si="9">D13-D38</f>
        <v>8.6999999999999318</v>
      </c>
      <c r="E63" s="71">
        <f t="shared" si="9"/>
        <v>10.38731255032917</v>
      </c>
      <c r="F63" s="71">
        <f t="shared" si="9"/>
        <v>12.085104752613574</v>
      </c>
      <c r="G63" s="71">
        <f t="shared" si="9"/>
        <v>13.793427523799892</v>
      </c>
      <c r="H63" s="71">
        <f t="shared" si="9"/>
        <v>14.274570085520963</v>
      </c>
      <c r="I63" s="71">
        <f t="shared" si="9"/>
        <v>14.742392163032946</v>
      </c>
      <c r="J63" s="71">
        <f t="shared" si="9"/>
        <v>15.19714176338789</v>
      </c>
      <c r="K63" s="71">
        <f t="shared" si="9"/>
        <v>15.639062886600641</v>
      </c>
      <c r="L63" s="71">
        <f t="shared" si="9"/>
        <v>16.068395585801909</v>
      </c>
      <c r="M63" s="71">
        <f t="shared" si="9"/>
        <v>16.485376026527888</v>
      </c>
    </row>
    <row r="64" spans="2:13" x14ac:dyDescent="0.3">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
      <c r="B69" s="35" t="s">
        <v>220</v>
      </c>
      <c r="C69" s="35" t="s">
        <v>221</v>
      </c>
      <c r="D69" s="71">
        <f t="shared" ref="D69:M69" si="15">D19-D44</f>
        <v>3.1000000000001364</v>
      </c>
      <c r="E69" s="71">
        <f t="shared" si="15"/>
        <v>2.3325520000003053</v>
      </c>
      <c r="F69" s="71">
        <f t="shared" si="15"/>
        <v>2.3325520000003053</v>
      </c>
      <c r="G69" s="71">
        <f t="shared" si="15"/>
        <v>2.3325520000003053</v>
      </c>
      <c r="H69" s="71">
        <f t="shared" si="15"/>
        <v>2.3325520000003053</v>
      </c>
      <c r="I69" s="71">
        <f t="shared" si="15"/>
        <v>6.7815380362003452</v>
      </c>
      <c r="J69" s="71">
        <f t="shared" si="15"/>
        <v>6.7815380362003452</v>
      </c>
      <c r="K69" s="71">
        <f t="shared" si="15"/>
        <v>6.7815380362003452</v>
      </c>
      <c r="L69" s="71">
        <f t="shared" si="15"/>
        <v>6.7815380362003452</v>
      </c>
      <c r="M69" s="71">
        <f t="shared" si="15"/>
        <v>10.322575740816319</v>
      </c>
    </row>
    <row r="70" spans="2:13" x14ac:dyDescent="0.3">
      <c r="B70" s="35" t="s">
        <v>222</v>
      </c>
      <c r="C70" s="35" t="s">
        <v>223</v>
      </c>
      <c r="D70" s="71">
        <f t="shared" ref="D70:M70" si="16">D20-D45</f>
        <v>0.60000000000002274</v>
      </c>
      <c r="E70" s="71">
        <f t="shared" si="16"/>
        <v>0.60930426714824648</v>
      </c>
      <c r="F70" s="71">
        <f t="shared" si="16"/>
        <v>0.61875281660840642</v>
      </c>
      <c r="G70" s="71">
        <f t="shared" si="16"/>
        <v>0.6283478857824889</v>
      </c>
      <c r="H70" s="71">
        <f t="shared" si="16"/>
        <v>0.63809174676805469</v>
      </c>
      <c r="I70" s="71">
        <f t="shared" si="16"/>
        <v>0.64798670689640403</v>
      </c>
      <c r="J70" s="71">
        <f t="shared" si="16"/>
        <v>0.6580351092788419</v>
      </c>
      <c r="K70" s="71">
        <f t="shared" si="16"/>
        <v>0.66823933336158348</v>
      </c>
      <c r="L70" s="71">
        <f t="shared" si="16"/>
        <v>0.67860179548915767</v>
      </c>
      <c r="M70" s="71">
        <f t="shared" si="16"/>
        <v>0.68912494947664982</v>
      </c>
    </row>
    <row r="71" spans="2:13" x14ac:dyDescent="0.3">
      <c r="B71" s="35" t="s">
        <v>224</v>
      </c>
      <c r="C71" s="35" t="s">
        <v>225</v>
      </c>
      <c r="D71" s="71">
        <f t="shared" ref="D71:M71" si="17">D21-D46</f>
        <v>17.199999999999818</v>
      </c>
      <c r="E71" s="71">
        <f t="shared" si="17"/>
        <v>17.459842792100972</v>
      </c>
      <c r="F71" s="71">
        <f t="shared" si="17"/>
        <v>17.721302942632974</v>
      </c>
      <c r="G71" s="71">
        <f t="shared" si="17"/>
        <v>17.984406455979297</v>
      </c>
      <c r="H71" s="71">
        <f t="shared" si="17"/>
        <v>18.25534180019531</v>
      </c>
      <c r="I71" s="71">
        <f t="shared" si="17"/>
        <v>18.528892316920974</v>
      </c>
      <c r="J71" s="71">
        <f t="shared" si="17"/>
        <v>18.805089269091695</v>
      </c>
      <c r="K71" s="71">
        <f t="shared" si="17"/>
        <v>19.083964254797138</v>
      </c>
      <c r="L71" s="71">
        <f t="shared" si="17"/>
        <v>19.310389241731173</v>
      </c>
      <c r="M71" s="71">
        <f t="shared" si="17"/>
        <v>19.539311183285463</v>
      </c>
    </row>
    <row r="72" spans="2:13" x14ac:dyDescent="0.3">
      <c r="B72" s="35" t="s">
        <v>226</v>
      </c>
      <c r="C72" s="35" t="s">
        <v>227</v>
      </c>
      <c r="D72" s="71">
        <f t="shared" ref="D72:M72" si="18">D22-D47</f>
        <v>-6.2000000000002728</v>
      </c>
      <c r="E72" s="71">
        <f t="shared" si="18"/>
        <v>-6.2775441770563702</v>
      </c>
      <c r="F72" s="71">
        <f t="shared" si="18"/>
        <v>-6.3610942179207086</v>
      </c>
      <c r="G72" s="71">
        <f t="shared" si="18"/>
        <v>-6.4391027359256441</v>
      </c>
      <c r="H72" s="71">
        <f t="shared" si="18"/>
        <v>-6.5221255266146727</v>
      </c>
      <c r="I72" s="71">
        <f t="shared" si="18"/>
        <v>-6.5934995180014084</v>
      </c>
      <c r="J72" s="71">
        <f t="shared" si="18"/>
        <v>-6.6608570271769167</v>
      </c>
      <c r="K72" s="71">
        <f t="shared" si="18"/>
        <v>-6.7285204743839131</v>
      </c>
      <c r="L72" s="71">
        <f t="shared" si="18"/>
        <v>-6.7970933701062677</v>
      </c>
      <c r="M72" s="71">
        <f t="shared" si="18"/>
        <v>-6.867996989191397</v>
      </c>
    </row>
    <row r="73" spans="2:13" x14ac:dyDescent="0.3">
      <c r="B73" s="35" t="s">
        <v>228</v>
      </c>
      <c r="C73" s="35"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
      <c r="B74" s="35" t="s">
        <v>230</v>
      </c>
      <c r="C74" s="35"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
      <c r="B76" s="35"/>
      <c r="C76" s="35"/>
      <c r="D76" s="71"/>
      <c r="E76" s="71"/>
      <c r="F76" s="71"/>
      <c r="G76" s="71"/>
      <c r="H76" s="71"/>
      <c r="I76" s="71"/>
      <c r="J76" s="71"/>
      <c r="K76" s="71"/>
      <c r="L76" s="71"/>
      <c r="M76" s="71"/>
    </row>
    <row r="78" spans="2:13" x14ac:dyDescent="0.3">
      <c r="B78" s="1252" t="s">
        <v>233</v>
      </c>
      <c r="C78" s="1252"/>
      <c r="D78" s="1252"/>
      <c r="E78" s="1252"/>
      <c r="F78" s="1252"/>
      <c r="G78" s="1252"/>
      <c r="H78" s="1252"/>
      <c r="I78" s="1252"/>
      <c r="J78" s="1252"/>
      <c r="K78" s="1252"/>
      <c r="L78" s="1252"/>
      <c r="M78" s="1252"/>
    </row>
    <row r="79" spans="2:13" x14ac:dyDescent="0.3">
      <c r="B79" t="s">
        <v>178</v>
      </c>
      <c r="C79" t="s">
        <v>179</v>
      </c>
      <c r="D79" t="s">
        <v>185</v>
      </c>
      <c r="E79" t="s">
        <v>186</v>
      </c>
      <c r="F79" t="s">
        <v>187</v>
      </c>
      <c r="G79" t="s">
        <v>188</v>
      </c>
      <c r="H79" t="s">
        <v>189</v>
      </c>
      <c r="I79" t="s">
        <v>190</v>
      </c>
      <c r="J79" t="s">
        <v>191</v>
      </c>
      <c r="K79" t="s">
        <v>175</v>
      </c>
      <c r="L79" t="s">
        <v>176</v>
      </c>
      <c r="M79" t="s">
        <v>177</v>
      </c>
    </row>
    <row r="80" spans="2:13" x14ac:dyDescent="0.3">
      <c r="B80" t="s">
        <v>192</v>
      </c>
      <c r="C80" t="s">
        <v>193</v>
      </c>
      <c r="D80" s="70">
        <f t="shared" ref="D80:M80" si="22">(D4/D29-1)</f>
        <v>-2.3326411687273341E-3</v>
      </c>
      <c r="E80" s="70">
        <f t="shared" si="22"/>
        <v>-2.4931864868551479E-3</v>
      </c>
      <c r="F80" s="70">
        <f t="shared" si="22"/>
        <v>-2.4936400617301402E-3</v>
      </c>
      <c r="G80" s="70">
        <f t="shared" si="22"/>
        <v>-2.5285885995537383E-3</v>
      </c>
      <c r="H80" s="70">
        <f t="shared" si="22"/>
        <v>-2.5542337493092981E-3</v>
      </c>
      <c r="I80" s="70">
        <f t="shared" si="22"/>
        <v>-2.6587006498310917E-3</v>
      </c>
      <c r="J80" s="70">
        <f t="shared" si="22"/>
        <v>-2.8339968023365358E-3</v>
      </c>
      <c r="K80" s="70">
        <f t="shared" si="22"/>
        <v>-2.8312329531652303E-3</v>
      </c>
      <c r="L80" s="70">
        <f t="shared" si="22"/>
        <v>-2.8266367580910279E-3</v>
      </c>
      <c r="M80" s="70">
        <f t="shared" si="22"/>
        <v>-2.992942134190435E-3</v>
      </c>
    </row>
    <row r="81" spans="2:13" x14ac:dyDescent="0.3">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
      <c r="B82" t="s">
        <v>195</v>
      </c>
      <c r="C82" t="s">
        <v>196</v>
      </c>
      <c r="D82" s="70">
        <f t="shared" ref="D82:M82" si="24">(D6/D31-1)</f>
        <v>-5.903536218199168E-5</v>
      </c>
      <c r="E82" s="70">
        <f t="shared" si="24"/>
        <v>-5.9035362182102702E-5</v>
      </c>
      <c r="F82" s="70">
        <f t="shared" si="24"/>
        <v>-5.9035362182213724E-5</v>
      </c>
      <c r="G82" s="70">
        <f t="shared" si="24"/>
        <v>-5.9035362182213724E-5</v>
      </c>
      <c r="H82" s="70">
        <f t="shared" si="24"/>
        <v>-5.9035362182102702E-5</v>
      </c>
      <c r="I82" s="70">
        <f t="shared" si="24"/>
        <v>-5.9035362182102702E-5</v>
      </c>
      <c r="J82" s="70">
        <f t="shared" si="24"/>
        <v>-5.9035362182102702E-5</v>
      </c>
      <c r="K82" s="70">
        <f t="shared" si="24"/>
        <v>-5.9035362182102702E-5</v>
      </c>
      <c r="L82" s="70">
        <f t="shared" si="24"/>
        <v>-5.9035362182213724E-5</v>
      </c>
      <c r="M82" s="70">
        <f t="shared" si="24"/>
        <v>-5.9035362182213724E-5</v>
      </c>
    </row>
    <row r="83" spans="2:13" x14ac:dyDescent="0.3">
      <c r="B83" t="s">
        <v>197</v>
      </c>
      <c r="C83" t="s">
        <v>198</v>
      </c>
      <c r="D83" s="70">
        <f t="shared" ref="D83:M83" si="25">(D7/D32-1)</f>
        <v>1.6005010264081854E-3</v>
      </c>
      <c r="E83" s="70">
        <f t="shared" si="25"/>
        <v>1.6005010264081854E-3</v>
      </c>
      <c r="F83" s="70">
        <f t="shared" si="25"/>
        <v>1.6005010264081854E-3</v>
      </c>
      <c r="G83" s="70">
        <f t="shared" si="25"/>
        <v>1.6005010264081854E-3</v>
      </c>
      <c r="H83" s="70">
        <f t="shared" si="25"/>
        <v>1.6005010264081854E-3</v>
      </c>
      <c r="I83" s="70">
        <f t="shared" si="25"/>
        <v>1.6005010264081854E-3</v>
      </c>
      <c r="J83" s="70">
        <f t="shared" si="25"/>
        <v>1.6005010264081854E-3</v>
      </c>
      <c r="K83" s="70">
        <f t="shared" si="25"/>
        <v>1.6005010264081854E-3</v>
      </c>
      <c r="L83" s="70">
        <f t="shared" si="25"/>
        <v>1.6005010264081854E-3</v>
      </c>
      <c r="M83" s="70">
        <f t="shared" si="25"/>
        <v>2.6470690676048125E-3</v>
      </c>
    </row>
    <row r="84" spans="2:13" x14ac:dyDescent="0.3">
      <c r="B84" t="s">
        <v>199</v>
      </c>
      <c r="C84" t="s">
        <v>200</v>
      </c>
      <c r="D84" s="70">
        <f t="shared" ref="D84:M84" si="26">(D8/D33-1)</f>
        <v>3.3728945759639029E-2</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
      <c r="B86" t="s">
        <v>203</v>
      </c>
      <c r="C86" t="s">
        <v>204</v>
      </c>
      <c r="D86" s="70">
        <f t="shared" ref="D86:M86" si="28">(D10/D35-1)</f>
        <v>-0.24999999999999556</v>
      </c>
      <c r="E86" s="70">
        <f t="shared" si="28"/>
        <v>-0.26280800195169551</v>
      </c>
      <c r="F86" s="70">
        <f t="shared" si="28"/>
        <v>-0.24999999999999822</v>
      </c>
      <c r="G86" s="70">
        <f t="shared" si="28"/>
        <v>-0.25000000000000322</v>
      </c>
      <c r="H86" s="70">
        <f t="shared" si="28"/>
        <v>-0.24999999999999845</v>
      </c>
      <c r="I86" s="70">
        <f t="shared" si="28"/>
        <v>-0.24999999999999845</v>
      </c>
      <c r="J86" s="70">
        <f t="shared" si="28"/>
        <v>-0.25000000000000167</v>
      </c>
      <c r="K86" s="70">
        <f t="shared" si="28"/>
        <v>-0.25000000000000333</v>
      </c>
      <c r="L86" s="70">
        <f t="shared" si="28"/>
        <v>-0.25</v>
      </c>
      <c r="M86" s="70">
        <f t="shared" si="28"/>
        <v>-0.24999999999999833</v>
      </c>
    </row>
    <row r="87" spans="2:13" x14ac:dyDescent="0.3">
      <c r="B87" t="s">
        <v>205</v>
      </c>
      <c r="C87" t="s">
        <v>206</v>
      </c>
      <c r="D87" s="70">
        <f t="shared" ref="D87:M87" si="29">(D11/D36-1)</f>
        <v>4.9999999999998934E-3</v>
      </c>
      <c r="E87" s="70">
        <f t="shared" si="29"/>
        <v>-1.2162722615272181E-2</v>
      </c>
      <c r="F87" s="70">
        <f t="shared" si="29"/>
        <v>4.9999999999998934E-3</v>
      </c>
      <c r="G87" s="70">
        <f t="shared" si="29"/>
        <v>4.9999999999998934E-3</v>
      </c>
      <c r="H87" s="70">
        <f t="shared" si="29"/>
        <v>4.9999999999998934E-3</v>
      </c>
      <c r="I87" s="70">
        <f t="shared" si="29"/>
        <v>4.9999999999998934E-3</v>
      </c>
      <c r="J87" s="70">
        <f t="shared" si="29"/>
        <v>4.9999999999998934E-3</v>
      </c>
      <c r="K87" s="70">
        <f t="shared" si="29"/>
        <v>4.9999999999996714E-3</v>
      </c>
      <c r="L87" s="70">
        <f t="shared" si="29"/>
        <v>4.9999999999996714E-3</v>
      </c>
      <c r="M87" s="70">
        <f t="shared" si="29"/>
        <v>4.9999999999994493E-3</v>
      </c>
    </row>
    <row r="88" spans="2:13" x14ac:dyDescent="0.3">
      <c r="B88" t="s">
        <v>207</v>
      </c>
      <c r="C88" t="s">
        <v>208</v>
      </c>
      <c r="D88" s="70">
        <f t="shared" ref="D88:M88" si="30">(D12/D37-1)</f>
        <v>1.3062277300579517E-4</v>
      </c>
      <c r="E88" s="70">
        <f t="shared" si="30"/>
        <v>2.2307284835518804E-3</v>
      </c>
      <c r="F88" s="70">
        <f t="shared" si="30"/>
        <v>1.5339141511406806E-2</v>
      </c>
      <c r="G88" s="70">
        <f t="shared" si="30"/>
        <v>5.6792987666651751E-3</v>
      </c>
      <c r="H88" s="70">
        <f t="shared" si="30"/>
        <v>6.4942317544249839E-3</v>
      </c>
      <c r="I88" s="70">
        <f t="shared" si="30"/>
        <v>7.318740973113913E-3</v>
      </c>
      <c r="J88" s="70">
        <f t="shared" si="30"/>
        <v>8.1439256208617472E-3</v>
      </c>
      <c r="K88" s="70">
        <f t="shared" si="30"/>
        <v>8.9697862509725557E-3</v>
      </c>
      <c r="L88" s="70">
        <f t="shared" si="30"/>
        <v>9.7157209750275975E-3</v>
      </c>
      <c r="M88" s="70">
        <f t="shared" si="30"/>
        <v>1.0542869202939453E-2</v>
      </c>
    </row>
    <row r="89" spans="2:13" x14ac:dyDescent="0.3">
      <c r="B89" t="s">
        <v>209</v>
      </c>
      <c r="C89" t="s">
        <v>210</v>
      </c>
      <c r="D89" s="70">
        <f t="shared" ref="D89:M89" si="31">(D13/D38-1)</f>
        <v>1.1088452714759001E-2</v>
      </c>
      <c r="E89" s="70">
        <f t="shared" si="31"/>
        <v>1.3211568020963682E-2</v>
      </c>
      <c r="F89" s="70">
        <f t="shared" si="31"/>
        <v>1.5339141511406806E-2</v>
      </c>
      <c r="G89" s="70">
        <f t="shared" si="31"/>
        <v>1.7471182547523556E-2</v>
      </c>
      <c r="H89" s="70">
        <f t="shared" si="31"/>
        <v>1.8304683965905566E-2</v>
      </c>
      <c r="I89" s="70">
        <f t="shared" si="31"/>
        <v>1.9138868179659374E-2</v>
      </c>
      <c r="J89" s="70">
        <f t="shared" si="31"/>
        <v>1.9973735748123778E-2</v>
      </c>
      <c r="K89" s="70">
        <f t="shared" si="31"/>
        <v>2.0809287231095652E-2</v>
      </c>
      <c r="L89" s="70">
        <f t="shared" si="31"/>
        <v>2.1645523188829952E-2</v>
      </c>
      <c r="M89" s="70">
        <f t="shared" si="31"/>
        <v>2.2482444182041483E-2</v>
      </c>
    </row>
    <row r="90" spans="2:13" x14ac:dyDescent="0.3">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3">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
      <c r="B95" t="s">
        <v>220</v>
      </c>
      <c r="C95" t="s">
        <v>221</v>
      </c>
      <c r="D95" s="70">
        <f t="shared" ref="D95:M95" si="37">(D19/D44-1)</f>
        <v>1.6286867425949758E-3</v>
      </c>
      <c r="E95" s="70">
        <f t="shared" si="37"/>
        <v>1.1937750615813592E-3</v>
      </c>
      <c r="F95" s="70">
        <f t="shared" si="37"/>
        <v>1.1895135995885209E-3</v>
      </c>
      <c r="G95" s="70">
        <f t="shared" si="37"/>
        <v>1.1852824539642093E-3</v>
      </c>
      <c r="H95" s="70">
        <f t="shared" si="37"/>
        <v>1.1849518838549233E-3</v>
      </c>
      <c r="I95" s="70">
        <f t="shared" si="37"/>
        <v>3.36813886189824E-3</v>
      </c>
      <c r="J95" s="70">
        <f t="shared" si="37"/>
        <v>3.3564696225607538E-3</v>
      </c>
      <c r="K95" s="70">
        <f t="shared" si="37"/>
        <v>3.3448809624410103E-3</v>
      </c>
      <c r="L95" s="70">
        <f t="shared" si="37"/>
        <v>3.3308703414796081E-3</v>
      </c>
      <c r="M95" s="70">
        <f t="shared" si="37"/>
        <v>4.9893736598340954E-3</v>
      </c>
    </row>
    <row r="96" spans="2:13" x14ac:dyDescent="0.3">
      <c r="B96" t="s">
        <v>222</v>
      </c>
      <c r="C96" t="s">
        <v>223</v>
      </c>
      <c r="D96" s="70">
        <f t="shared" ref="D96:M96" si="38">(D20/D45-1)</f>
        <v>2.4086712163791102E-3</v>
      </c>
      <c r="E96" s="70">
        <f t="shared" si="38"/>
        <v>3.3302080821346891E-3</v>
      </c>
      <c r="F96" s="70">
        <f t="shared" si="38"/>
        <v>3.3302080821346891E-3</v>
      </c>
      <c r="G96" s="70">
        <f t="shared" si="38"/>
        <v>3.3302080821349112E-3</v>
      </c>
      <c r="H96" s="70">
        <f t="shared" si="38"/>
        <v>3.3302080821349112E-3</v>
      </c>
      <c r="I96" s="70">
        <f t="shared" si="38"/>
        <v>3.3302080821349112E-3</v>
      </c>
      <c r="J96" s="70">
        <f t="shared" si="38"/>
        <v>3.3302080821349112E-3</v>
      </c>
      <c r="K96" s="70">
        <f t="shared" si="38"/>
        <v>3.3302080821349112E-3</v>
      </c>
      <c r="L96" s="70">
        <f t="shared" si="38"/>
        <v>3.3302080821351332E-3</v>
      </c>
      <c r="M96" s="70">
        <f t="shared" si="38"/>
        <v>3.3302080821351332E-3</v>
      </c>
    </row>
    <row r="97" spans="2:13" x14ac:dyDescent="0.3">
      <c r="B97" t="s">
        <v>224</v>
      </c>
      <c r="C97" t="s">
        <v>225</v>
      </c>
      <c r="D97" s="70">
        <f t="shared" ref="D97:M97" si="39">(D21/D46-1)</f>
        <v>3.7979155626213235E-3</v>
      </c>
      <c r="E97" s="70">
        <f t="shared" si="39"/>
        <v>3.9083011192919681E-3</v>
      </c>
      <c r="F97" s="70">
        <f t="shared" si="39"/>
        <v>3.9757001305302797E-3</v>
      </c>
      <c r="G97" s="70">
        <f t="shared" si="39"/>
        <v>4.0433572701195075E-3</v>
      </c>
      <c r="H97" s="70">
        <f t="shared" si="39"/>
        <v>4.0930511658812119E-3</v>
      </c>
      <c r="I97" s="70">
        <f t="shared" si="39"/>
        <v>4.1474054276571248E-3</v>
      </c>
      <c r="J97" s="70">
        <f t="shared" si="39"/>
        <v>4.2018728577282172E-3</v>
      </c>
      <c r="K97" s="70">
        <f t="shared" si="39"/>
        <v>4.2564463493777183E-3</v>
      </c>
      <c r="L97" s="70">
        <f t="shared" si="39"/>
        <v>4.2783316756926926E-3</v>
      </c>
      <c r="M97" s="70">
        <f t="shared" si="39"/>
        <v>4.3002419578352935E-3</v>
      </c>
    </row>
    <row r="98" spans="2:13" x14ac:dyDescent="0.3">
      <c r="B98" t="s">
        <v>226</v>
      </c>
      <c r="C98" t="s">
        <v>227</v>
      </c>
      <c r="D98" s="70">
        <f t="shared" ref="D98:M98" si="40">(D22/D47-1)</f>
        <v>-2.8107716021399387E-3</v>
      </c>
      <c r="E98" s="70">
        <f t="shared" si="40"/>
        <v>-2.8120069819143056E-3</v>
      </c>
      <c r="F98" s="70">
        <f t="shared" si="40"/>
        <v>-2.8179700754615844E-3</v>
      </c>
      <c r="G98" s="70">
        <f t="shared" si="40"/>
        <v>-2.8206155920215137E-3</v>
      </c>
      <c r="H98" s="70">
        <f t="shared" si="40"/>
        <v>-2.8251942184361889E-3</v>
      </c>
      <c r="I98" s="70">
        <f t="shared" si="40"/>
        <v>-2.8270184463337067E-3</v>
      </c>
      <c r="J98" s="70">
        <f t="shared" si="40"/>
        <v>-2.828004878883239E-3</v>
      </c>
      <c r="K98" s="70">
        <f t="shared" si="40"/>
        <v>-2.8292100531128739E-3</v>
      </c>
      <c r="L98" s="70">
        <f t="shared" si="40"/>
        <v>-2.8296452741264355E-3</v>
      </c>
      <c r="M98" s="70">
        <f t="shared" si="40"/>
        <v>-2.8301649301346599E-3</v>
      </c>
    </row>
    <row r="99" spans="2:13" x14ac:dyDescent="0.3">
      <c r="B99" t="s">
        <v>228</v>
      </c>
      <c r="C99" t="s">
        <v>229</v>
      </c>
      <c r="D99" s="70">
        <f t="shared" ref="D99:M99" si="41">(D23/D48-1)</f>
        <v>0</v>
      </c>
      <c r="E99" s="70">
        <f t="shared" si="41"/>
        <v>0</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3">
      <c r="B100" t="s">
        <v>230</v>
      </c>
      <c r="C100" t="s">
        <v>231</v>
      </c>
      <c r="D100" s="70">
        <f t="shared" ref="D100:M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3">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L5" sqref="L5"/>
    </sheetView>
  </sheetViews>
  <sheetFormatPr defaultColWidth="10.77734375" defaultRowHeight="14.4" x14ac:dyDescent="0.3"/>
  <cols>
    <col min="1" max="1" width="41.21875" customWidth="1"/>
    <col min="2" max="2" width="23.44140625" customWidth="1"/>
    <col min="3" max="8" width="10.44140625" customWidth="1"/>
  </cols>
  <sheetData>
    <row r="1" spans="1:13" x14ac:dyDescent="0.3">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
      <c r="A2" t="s">
        <v>192</v>
      </c>
      <c r="B2" t="s">
        <v>193</v>
      </c>
      <c r="C2" s="71">
        <f>Grants!T79</f>
        <v>418.716928</v>
      </c>
      <c r="D2" s="71">
        <f>Grants!U79</f>
        <v>395.55067787919143</v>
      </c>
      <c r="E2" s="71">
        <f>Grants!V79</f>
        <v>399.37536121583202</v>
      </c>
      <c r="F2" s="71">
        <f>Grants!W79</f>
        <v>397.7223326820897</v>
      </c>
      <c r="G2" s="71">
        <f>Grants!X79</f>
        <v>397.59845066666662</v>
      </c>
      <c r="H2" s="71">
        <f>Grants!Y79</f>
        <v>385.69919062635915</v>
      </c>
      <c r="I2" s="71">
        <f>Grants!Z79</f>
        <v>365.34301490446529</v>
      </c>
      <c r="J2" s="71">
        <f>Grants!AA79</f>
        <v>369.30407374937334</v>
      </c>
      <c r="K2" s="71">
        <f>Grants!AB79</f>
        <v>373.5511150333333</v>
      </c>
      <c r="L2" s="71">
        <f>Grants!AC79</f>
        <v>356.21123877141349</v>
      </c>
      <c r="M2" s="71"/>
    </row>
    <row r="3" spans="1:13" x14ac:dyDescent="0.3">
      <c r="A3" t="s">
        <v>134</v>
      </c>
      <c r="B3" t="s">
        <v>194</v>
      </c>
      <c r="C3" s="71">
        <f>Grants!T99</f>
        <v>76.15900000000002</v>
      </c>
      <c r="D3" s="71">
        <f>Grants!U99</f>
        <v>76.15900000000002</v>
      </c>
      <c r="E3" s="71">
        <f>Grants!V99</f>
        <v>76.15900000000002</v>
      </c>
      <c r="F3" s="71">
        <f>Grants!W99</f>
        <v>76.15900000000002</v>
      </c>
      <c r="G3" s="71">
        <f>Grants!X99</f>
        <v>77.818000000000012</v>
      </c>
      <c r="H3" s="71">
        <f>Grants!Y99</f>
        <v>77.818000000000012</v>
      </c>
      <c r="I3" s="71">
        <f>Grants!Z99</f>
        <v>77.818000000000012</v>
      </c>
      <c r="J3" s="71">
        <f>Grants!AA99</f>
        <v>77.818000000000012</v>
      </c>
      <c r="K3" s="71">
        <f>Grants!AB99</f>
        <v>79.41200000000002</v>
      </c>
      <c r="L3" s="71">
        <f>Grants!AC99</f>
        <v>79.41200000000002</v>
      </c>
      <c r="M3" s="71"/>
    </row>
    <row r="4" spans="1:13" x14ac:dyDescent="0.3">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
      <c r="A5" t="s">
        <v>197</v>
      </c>
      <c r="B5" t="s">
        <v>198</v>
      </c>
      <c r="C5" s="71">
        <f>'Federal and State Purchases'!T26</f>
        <v>2878.7</v>
      </c>
      <c r="D5" s="71">
        <f>'Federal and State Purchases'!U26</f>
        <v>2907.7767650029605</v>
      </c>
      <c r="E5" s="71">
        <f>'Federal and State Purchases'!V26</f>
        <v>2940.4630594545642</v>
      </c>
      <c r="F5" s="71">
        <f>'Federal and State Purchases'!W26</f>
        <v>2978.4633833722264</v>
      </c>
      <c r="G5" s="71">
        <f>'Federal and State Purchases'!X26</f>
        <v>3010.8488837031105</v>
      </c>
      <c r="H5" s="71">
        <f>'Federal and State Purchases'!Y26</f>
        <v>3042.4322663787398</v>
      </c>
      <c r="I5" s="71">
        <f>'Federal and State Purchases'!Z26</f>
        <v>3070.6066490195394</v>
      </c>
      <c r="J5" s="71">
        <f>'Federal and State Purchases'!AA26</f>
        <v>3098.279708125805</v>
      </c>
      <c r="K5" s="71">
        <f>'Federal and State Purchases'!AB26</f>
        <v>3125.8525025251643</v>
      </c>
      <c r="L5" s="71">
        <f>'Federal and State Purchases'!AC26</f>
        <v>3154.4279439935913</v>
      </c>
      <c r="M5" s="71"/>
    </row>
    <row r="6" spans="1:13" x14ac:dyDescent="0.3">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
      <c r="A8" t="s">
        <v>203</v>
      </c>
      <c r="B8" t="s">
        <v>204</v>
      </c>
      <c r="C8" s="71">
        <f>'Unemployment Insurance'!T19</f>
        <v>0.30000000000000071</v>
      </c>
      <c r="D8" s="71">
        <f>'Unemployment Insurance'!U19</f>
        <v>0.33575000000000088</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
      <c r="A9" t="s">
        <v>205</v>
      </c>
      <c r="B9" t="s">
        <v>206</v>
      </c>
      <c r="C9" s="71">
        <f>'Unemployment Insurance'!T20</f>
        <v>20.099999999999998</v>
      </c>
      <c r="D9" s="71">
        <f>'Unemployment Insurance'!U20</f>
        <v>22.495249999999995</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
      <c r="A10" s="35" t="s">
        <v>207</v>
      </c>
      <c r="B10" s="35" t="s">
        <v>208</v>
      </c>
      <c r="C10" s="71">
        <f>Medicaid!T28</f>
        <v>604.87400000000002</v>
      </c>
      <c r="D10" s="71">
        <f>Medicaid!U28</f>
        <v>607.40230668028107</v>
      </c>
      <c r="E10" s="71">
        <f>Medicaid!V28</f>
        <v>589.55996124169314</v>
      </c>
      <c r="F10" s="71">
        <f>Medicaid!W28</f>
        <v>572.32620043872669</v>
      </c>
      <c r="G10" s="71">
        <f>Medicaid!X28</f>
        <v>565.35156818531721</v>
      </c>
      <c r="H10" s="71">
        <f>Medicaid!Y28</f>
        <v>558.88844569073513</v>
      </c>
      <c r="I10" s="71">
        <f>Medicaid!Z28</f>
        <v>552.4992098796447</v>
      </c>
      <c r="J10" s="71">
        <f>Medicaid!AA28</f>
        <v>546.18301607642627</v>
      </c>
      <c r="K10" s="71">
        <f>Medicaid!AB28</f>
        <v>536.24818151910517</v>
      </c>
      <c r="L10" s="71">
        <f>Medicaid!AC28</f>
        <v>530.11777014379129</v>
      </c>
      <c r="M10" s="71"/>
    </row>
    <row r="11" spans="1:13" x14ac:dyDescent="0.3">
      <c r="A11" s="35" t="s">
        <v>209</v>
      </c>
      <c r="B11" s="35" t="s">
        <v>210</v>
      </c>
      <c r="C11" s="71">
        <f>Medicaid!T26</f>
        <v>793.3</v>
      </c>
      <c r="D11" s="71">
        <f>Medicaid!U26</f>
        <v>796.61590660115485</v>
      </c>
      <c r="E11" s="71">
        <f>Medicaid!V26</f>
        <v>799.94567332658505</v>
      </c>
      <c r="F11" s="71">
        <f>Medicaid!W26</f>
        <v>803.28935811008296</v>
      </c>
      <c r="G11" s="71">
        <f>Medicaid!X26</f>
        <v>794.10612096664613</v>
      </c>
      <c r="H11" s="71">
        <f>Medicaid!Y26</f>
        <v>785.02786696979422</v>
      </c>
      <c r="I11" s="71">
        <f>Medicaid!Z26</f>
        <v>776.05339594785642</v>
      </c>
      <c r="J11" s="71">
        <f>Medicaid!AA26</f>
        <v>767.18152144957389</v>
      </c>
      <c r="K11" s="71">
        <f>Medicaid!AB26</f>
        <v>758.41107058724765</v>
      </c>
      <c r="L11" s="71">
        <f>Medicaid!AC26</f>
        <v>749.74088388167945</v>
      </c>
      <c r="M11" s="71"/>
    </row>
    <row r="12" spans="1:13" x14ac:dyDescent="0.3">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3">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
      <c r="A17" t="s">
        <v>220</v>
      </c>
      <c r="B17" t="s">
        <v>221</v>
      </c>
      <c r="C17" s="71">
        <f>'Social Benefits'!T27</f>
        <v>1906.4740000000004</v>
      </c>
      <c r="D17" s="71">
        <f>'Social Benefits'!U27</f>
        <v>1956.2617930000004</v>
      </c>
      <c r="E17" s="71">
        <f>'Social Benefits'!V27</f>
        <v>1963.2617930000004</v>
      </c>
      <c r="F17" s="71">
        <f>'Social Benefits'!W27</f>
        <v>1970.2617930000004</v>
      </c>
      <c r="G17" s="71">
        <f>'Social Benefits'!X27</f>
        <v>1970.8107930000003</v>
      </c>
      <c r="H17" s="71">
        <f>'Social Benefits'!Y27</f>
        <v>2020.2193190362004</v>
      </c>
      <c r="I17" s="71">
        <f>'Social Benefits'!Z27</f>
        <v>2027.2193190362004</v>
      </c>
      <c r="J17" s="71">
        <f>'Social Benefits'!AA27</f>
        <v>2034.2193190362004</v>
      </c>
      <c r="K17" s="71">
        <f>'Social Benefits'!AB27</f>
        <v>2042.7473190362005</v>
      </c>
      <c r="L17" s="71">
        <f>'Social Benefits'!AC27</f>
        <v>2079.2347167408166</v>
      </c>
      <c r="M17" s="71"/>
    </row>
    <row r="18" spans="1:13" x14ac:dyDescent="0.3">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
      <c r="A19" t="s">
        <v>224</v>
      </c>
      <c r="B19" t="s">
        <v>225</v>
      </c>
      <c r="C19" s="71">
        <f>Taxes!T9</f>
        <v>4546</v>
      </c>
      <c r="D19" s="71">
        <f>Taxes!U9</f>
        <v>4484.8338396206082</v>
      </c>
      <c r="E19" s="71">
        <f>Taxes!V9</f>
        <v>4475.1256243972575</v>
      </c>
      <c r="F19" s="71">
        <f>Taxes!W9</f>
        <v>4465.8739335289974</v>
      </c>
      <c r="G19" s="71">
        <f>Taxes!X9</f>
        <v>4478.3368458791647</v>
      </c>
      <c r="H19" s="71">
        <f>Taxes!Y9</f>
        <v>4486.1153485047389</v>
      </c>
      <c r="I19" s="71">
        <f>Taxes!Z9</f>
        <v>4494.2116295943742</v>
      </c>
      <c r="J19" s="71">
        <f>Taxes!AA9</f>
        <v>4502.6279087443791</v>
      </c>
      <c r="K19" s="71">
        <f>Taxes!AB9</f>
        <v>4532.842930779605</v>
      </c>
      <c r="L19" s="71">
        <f>Taxes!AC9</f>
        <v>4563.3094931572341</v>
      </c>
      <c r="M19" s="71"/>
    </row>
    <row r="20" spans="1:13" x14ac:dyDescent="0.3">
      <c r="A20" t="s">
        <v>226</v>
      </c>
      <c r="B20" t="s">
        <v>227</v>
      </c>
      <c r="C20" s="71">
        <f>Taxes!T22</f>
        <v>2199.6</v>
      </c>
      <c r="D20" s="71">
        <f>Taxes!U22</f>
        <v>2226.1294937253679</v>
      </c>
      <c r="E20" s="71">
        <f>Taxes!V22</f>
        <v>2250.9709737525445</v>
      </c>
      <c r="F20" s="71">
        <f>Taxes!W22</f>
        <v>2276.4323222605917</v>
      </c>
      <c r="G20" s="71">
        <f>Taxes!X22</f>
        <v>2302.0361619190921</v>
      </c>
      <c r="H20" s="71">
        <f>Taxes!Y22</f>
        <v>2325.7222045243498</v>
      </c>
      <c r="I20" s="71">
        <f>Taxes!Z22</f>
        <v>2348.6593465954388</v>
      </c>
      <c r="J20" s="71">
        <f>Taxes!AA22</f>
        <v>2371.5043954523735</v>
      </c>
      <c r="K20" s="71">
        <f>Taxes!AB22</f>
        <v>2395.3037749815721</v>
      </c>
      <c r="L20" s="71">
        <f>Taxes!AC22</f>
        <v>2419.8446359260029</v>
      </c>
      <c r="M20" s="71"/>
    </row>
    <row r="21" spans="1:13" x14ac:dyDescent="0.3">
      <c r="A21" t="s">
        <v>228</v>
      </c>
      <c r="B21" t="s">
        <v>229</v>
      </c>
      <c r="C21" s="71">
        <f>Taxes!T18</f>
        <v>350.30119606059549</v>
      </c>
      <c r="D21" s="71">
        <f>Taxes!U18</f>
        <v>360.27870804898345</v>
      </c>
      <c r="E21" s="71">
        <f>Taxes!V18</f>
        <v>370.54040617946271</v>
      </c>
      <c r="F21" s="71">
        <f>Taxes!W18</f>
        <v>381.09438483101775</v>
      </c>
      <c r="G21" s="71">
        <f>Taxes!X18</f>
        <v>381.72153892635089</v>
      </c>
      <c r="H21" s="71">
        <f>Taxes!Y18</f>
        <v>382.34972510789402</v>
      </c>
      <c r="I21" s="71">
        <f>Taxes!Z18</f>
        <v>382.97894507411644</v>
      </c>
      <c r="J21" s="71">
        <f>Taxes!AA18</f>
        <v>383.60920052628245</v>
      </c>
      <c r="K21" s="71">
        <f>Taxes!AB18</f>
        <v>385.61244152866738</v>
      </c>
      <c r="L21" s="71">
        <f>Taxes!AC18</f>
        <v>400.52681927840081</v>
      </c>
      <c r="M21" s="71"/>
    </row>
    <row r="22" spans="1:13" x14ac:dyDescent="0.3">
      <c r="A22" t="s">
        <v>230</v>
      </c>
      <c r="B22" t="s">
        <v>231</v>
      </c>
      <c r="C22" s="71">
        <f>Taxes!T27</f>
        <v>95.360546952748706</v>
      </c>
      <c r="D22" s="71">
        <f>Taxes!U27</f>
        <v>88.958815333784486</v>
      </c>
      <c r="E22" s="71">
        <f>Taxes!V27</f>
        <v>83.91599856693604</v>
      </c>
      <c r="F22" s="71">
        <f>Taxes!W27</f>
        <v>81.073902312806027</v>
      </c>
      <c r="G22" s="71">
        <f>Taxes!X27</f>
        <v>78.997448349986072</v>
      </c>
      <c r="H22" s="71">
        <f>Taxes!Y27</f>
        <v>79.891365789578444</v>
      </c>
      <c r="I22" s="71">
        <f>Taxes!Z27</f>
        <v>81.322435412602999</v>
      </c>
      <c r="J22" s="71">
        <f>Taxes!AA27</f>
        <v>83.346777596433256</v>
      </c>
      <c r="K22" s="71">
        <f>Taxes!AB27</f>
        <v>86.228959834401508</v>
      </c>
      <c r="L22" s="71">
        <f>Taxes!AC27</f>
        <v>89.010927112774183</v>
      </c>
      <c r="M22" s="71"/>
    </row>
    <row r="23" spans="1:13" x14ac:dyDescent="0.3">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
      <c r="A24" s="72"/>
      <c r="C24" s="73"/>
      <c r="D24" s="73"/>
      <c r="E24" s="73"/>
      <c r="F24" s="73"/>
      <c r="G24" s="73"/>
      <c r="H24" s="73"/>
      <c r="I24" s="73"/>
      <c r="J24" s="73"/>
      <c r="K24" s="73"/>
      <c r="L24" s="73"/>
    </row>
    <row r="25" spans="1:13" x14ac:dyDescent="0.3">
      <c r="A25" s="47"/>
      <c r="C25" s="73"/>
      <c r="D25" s="73"/>
      <c r="E25" s="73"/>
      <c r="F25" s="73"/>
      <c r="G25" s="73"/>
      <c r="H25" s="73"/>
      <c r="I25" s="73"/>
      <c r="J25" s="73"/>
      <c r="K25" s="73"/>
      <c r="L25" s="73"/>
    </row>
    <row r="26" spans="1:13" x14ac:dyDescent="0.3">
      <c r="A26" s="47"/>
      <c r="C26" s="73"/>
      <c r="D26" s="73"/>
      <c r="E26" s="73"/>
      <c r="F26" s="73"/>
      <c r="G26" s="73"/>
      <c r="H26" s="73"/>
      <c r="I26" s="73"/>
      <c r="J26" s="73"/>
      <c r="K26" s="73"/>
      <c r="L26" s="73"/>
    </row>
    <row r="27" spans="1:13" x14ac:dyDescent="0.3">
      <c r="A27" s="47"/>
      <c r="C27" s="73"/>
      <c r="D27" s="73"/>
      <c r="E27" s="73"/>
      <c r="F27" s="73"/>
      <c r="G27" s="73"/>
      <c r="H27" s="73"/>
      <c r="I27" s="73"/>
      <c r="J27" s="73"/>
      <c r="K27" s="73"/>
      <c r="L27" s="73"/>
    </row>
    <row r="28" spans="1:13" x14ac:dyDescent="0.3">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947C1-7513-400D-BD4C-7D67673ADFD7}">
  <dimension ref="A2:O90"/>
  <sheetViews>
    <sheetView topLeftCell="B27" workbookViewId="0">
      <selection activeCell="K40" sqref="K40"/>
    </sheetView>
  </sheetViews>
  <sheetFormatPr defaultColWidth="10.77734375" defaultRowHeight="14.4" x14ac:dyDescent="0.3"/>
  <cols>
    <col min="1" max="1" width="6.5546875" customWidth="1"/>
    <col min="2" max="2" width="65" customWidth="1"/>
    <col min="3" max="10" width="11.5546875" customWidth="1"/>
    <col min="11" max="11" width="18.21875" customWidth="1"/>
  </cols>
  <sheetData>
    <row r="2" spans="1:15" x14ac:dyDescent="0.3">
      <c r="A2" s="1253" t="s">
        <v>968</v>
      </c>
      <c r="B2" s="1253"/>
      <c r="C2" s="1253"/>
      <c r="D2" s="1253"/>
      <c r="E2" s="1253"/>
      <c r="F2" s="1253"/>
      <c r="G2" s="1253"/>
      <c r="H2" s="1253"/>
      <c r="I2" s="1253"/>
      <c r="J2" s="1253"/>
      <c r="K2" s="1253"/>
      <c r="L2" s="1253"/>
      <c r="M2" s="1253"/>
      <c r="N2" s="1253"/>
      <c r="O2" s="1253"/>
    </row>
    <row r="3" spans="1:15" x14ac:dyDescent="0.3">
      <c r="A3" s="1253" t="s">
        <v>942</v>
      </c>
      <c r="B3" s="1253"/>
      <c r="C3" s="1253"/>
      <c r="D3" s="1253"/>
      <c r="E3" s="1253"/>
      <c r="F3" s="1253"/>
      <c r="G3" s="1253"/>
      <c r="H3" s="1253"/>
      <c r="I3" s="1253"/>
      <c r="J3" s="1253"/>
      <c r="K3" s="1253"/>
      <c r="L3" s="1253"/>
      <c r="M3" s="1253"/>
      <c r="N3" s="1253"/>
      <c r="O3" s="1253"/>
    </row>
    <row r="4" spans="1:15" ht="15" customHeight="1" thickBot="1" x14ac:dyDescent="0.35">
      <c r="A4" s="1254"/>
      <c r="B4" s="1254"/>
      <c r="C4" s="1254"/>
      <c r="D4" s="1220"/>
      <c r="E4" s="1220"/>
      <c r="F4" s="1220"/>
      <c r="G4" s="1220"/>
      <c r="H4" s="1220"/>
      <c r="I4" s="1220"/>
      <c r="J4" s="1220"/>
    </row>
    <row r="5" spans="1:15" x14ac:dyDescent="0.3">
      <c r="A5" s="1446" t="s">
        <v>869</v>
      </c>
      <c r="B5" s="1488"/>
      <c r="C5" s="1491" t="s">
        <v>969</v>
      </c>
      <c r="D5" s="1491" t="s">
        <v>969</v>
      </c>
      <c r="E5" s="1491" t="s">
        <v>969</v>
      </c>
      <c r="F5" s="1491" t="s">
        <v>969</v>
      </c>
      <c r="G5" s="1491" t="s">
        <v>969</v>
      </c>
      <c r="H5" s="1491" t="s">
        <v>969</v>
      </c>
      <c r="I5" s="1491" t="s">
        <v>969</v>
      </c>
      <c r="J5" s="1492" t="s">
        <v>969</v>
      </c>
      <c r="K5" s="1221"/>
    </row>
    <row r="6" spans="1:15" x14ac:dyDescent="0.3">
      <c r="A6" s="1482" t="s">
        <v>869</v>
      </c>
      <c r="B6" s="1489"/>
      <c r="C6" s="1493">
        <v>2022</v>
      </c>
      <c r="D6" s="1494">
        <v>2022</v>
      </c>
      <c r="E6" s="1494">
        <v>2022</v>
      </c>
      <c r="F6" s="1494">
        <v>2022</v>
      </c>
      <c r="G6" s="1494">
        <v>2022</v>
      </c>
      <c r="H6" s="1494">
        <v>2022</v>
      </c>
      <c r="I6" s="1495">
        <v>2022</v>
      </c>
      <c r="J6" s="1474">
        <v>2023</v>
      </c>
      <c r="K6" s="86"/>
    </row>
    <row r="7" spans="1:15" ht="15" customHeight="1" x14ac:dyDescent="0.3">
      <c r="A7" s="1483" t="s">
        <v>869</v>
      </c>
      <c r="B7" s="1490"/>
      <c r="C7" s="1475" t="s">
        <v>2224</v>
      </c>
      <c r="D7" s="1475" t="s">
        <v>2225</v>
      </c>
      <c r="E7" s="1475" t="s">
        <v>2226</v>
      </c>
      <c r="F7" s="1475" t="s">
        <v>2227</v>
      </c>
      <c r="G7" s="1475" t="s">
        <v>2228</v>
      </c>
      <c r="H7" s="1475" t="s">
        <v>2229</v>
      </c>
      <c r="I7" s="1475" t="s">
        <v>2230</v>
      </c>
      <c r="J7" s="1475" t="s">
        <v>2231</v>
      </c>
      <c r="K7" s="87" t="s">
        <v>1881</v>
      </c>
    </row>
    <row r="8" spans="1:15" x14ac:dyDescent="0.3">
      <c r="A8" s="1478">
        <v>1</v>
      </c>
      <c r="B8" s="1476" t="s">
        <v>239</v>
      </c>
      <c r="C8" s="1454">
        <v>21687</v>
      </c>
      <c r="D8" s="1455">
        <v>21852.3</v>
      </c>
      <c r="E8" s="1455">
        <v>21975.8</v>
      </c>
      <c r="F8" s="1455">
        <v>22080.400000000001</v>
      </c>
      <c r="G8" s="1455">
        <v>22281</v>
      </c>
      <c r="H8" s="1455">
        <v>22360.400000000001</v>
      </c>
      <c r="I8" s="1455">
        <v>22431.3</v>
      </c>
      <c r="J8" s="1456">
        <v>22562.400000000001</v>
      </c>
      <c r="K8" s="88"/>
    </row>
    <row r="9" spans="1:15" x14ac:dyDescent="0.3">
      <c r="A9" s="1479">
        <v>2</v>
      </c>
      <c r="B9" s="1449" t="s">
        <v>2232</v>
      </c>
      <c r="C9" s="1457">
        <v>13468.8</v>
      </c>
      <c r="D9" s="1458">
        <v>13654.1</v>
      </c>
      <c r="E9" s="1458">
        <v>13754.9</v>
      </c>
      <c r="F9" s="1458">
        <v>13856.1</v>
      </c>
      <c r="G9" s="1458">
        <v>13921.3</v>
      </c>
      <c r="H9" s="1458">
        <v>13977.6</v>
      </c>
      <c r="I9" s="1458">
        <v>14029</v>
      </c>
      <c r="J9" s="1459">
        <v>14149.7</v>
      </c>
      <c r="K9" s="88"/>
    </row>
    <row r="10" spans="1:15" x14ac:dyDescent="0.3">
      <c r="A10" s="1479">
        <v>3</v>
      </c>
      <c r="B10" s="1450" t="s">
        <v>2233</v>
      </c>
      <c r="C10" s="1457">
        <v>11104</v>
      </c>
      <c r="D10" s="1458">
        <v>11271.8</v>
      </c>
      <c r="E10" s="1458">
        <v>11360.7</v>
      </c>
      <c r="F10" s="1458">
        <v>11450.6</v>
      </c>
      <c r="G10" s="1458">
        <v>11507</v>
      </c>
      <c r="H10" s="1458">
        <v>11553.8</v>
      </c>
      <c r="I10" s="1458">
        <v>11596.8</v>
      </c>
      <c r="J10" s="1459">
        <v>11704.3</v>
      </c>
      <c r="K10" s="88"/>
    </row>
    <row r="11" spans="1:15" x14ac:dyDescent="0.3">
      <c r="A11" s="1479">
        <v>4</v>
      </c>
      <c r="B11" s="1469" t="s">
        <v>2234</v>
      </c>
      <c r="C11" s="1460">
        <v>9500.1</v>
      </c>
      <c r="D11" s="1461">
        <v>9656.4</v>
      </c>
      <c r="E11" s="1461">
        <v>9735.9</v>
      </c>
      <c r="F11" s="1461">
        <v>9819.5</v>
      </c>
      <c r="G11" s="1461">
        <v>9872.2999999999993</v>
      </c>
      <c r="H11" s="1461">
        <v>9908.7999999999993</v>
      </c>
      <c r="I11" s="1461">
        <v>9947.1</v>
      </c>
      <c r="J11" s="1462">
        <v>10047.1</v>
      </c>
      <c r="K11" s="88"/>
    </row>
    <row r="12" spans="1:15" x14ac:dyDescent="0.3">
      <c r="A12" s="1479">
        <v>5</v>
      </c>
      <c r="B12" s="1451" t="s">
        <v>2235</v>
      </c>
      <c r="C12" s="1460">
        <v>1738.4</v>
      </c>
      <c r="D12" s="1461">
        <v>1767.7</v>
      </c>
      <c r="E12" s="1461">
        <v>1780.1</v>
      </c>
      <c r="F12" s="1461">
        <v>1797.4</v>
      </c>
      <c r="G12" s="1461">
        <v>1807.9</v>
      </c>
      <c r="H12" s="1461">
        <v>1814.1</v>
      </c>
      <c r="I12" s="1461">
        <v>1816.6</v>
      </c>
      <c r="J12" s="1462">
        <v>1838.6</v>
      </c>
      <c r="K12" s="88"/>
    </row>
    <row r="13" spans="1:15" x14ac:dyDescent="0.3">
      <c r="A13" s="1479">
        <v>6</v>
      </c>
      <c r="B13" s="1470" t="s">
        <v>2236</v>
      </c>
      <c r="C13" s="1460">
        <v>1028.2</v>
      </c>
      <c r="D13" s="1461">
        <v>1046.3</v>
      </c>
      <c r="E13" s="1461">
        <v>1054.4000000000001</v>
      </c>
      <c r="F13" s="1461">
        <v>1064.8</v>
      </c>
      <c r="G13" s="1461">
        <v>1070.5999999999999</v>
      </c>
      <c r="H13" s="1461">
        <v>1070.8</v>
      </c>
      <c r="I13" s="1461">
        <v>1066.3</v>
      </c>
      <c r="J13" s="1462">
        <v>1079.9000000000001</v>
      </c>
      <c r="K13" s="88"/>
    </row>
    <row r="14" spans="1:15" x14ac:dyDescent="0.3">
      <c r="A14" s="1479">
        <v>7</v>
      </c>
      <c r="B14" s="1451" t="s">
        <v>2237</v>
      </c>
      <c r="C14" s="1460">
        <v>7761.6</v>
      </c>
      <c r="D14" s="1461">
        <v>7888.7</v>
      </c>
      <c r="E14" s="1461">
        <v>7955.8</v>
      </c>
      <c r="F14" s="1461">
        <v>8022.1</v>
      </c>
      <c r="G14" s="1461">
        <v>8064.4</v>
      </c>
      <c r="H14" s="1461">
        <v>8094.7</v>
      </c>
      <c r="I14" s="1461">
        <v>8130.5</v>
      </c>
      <c r="J14" s="1462">
        <v>8208.6</v>
      </c>
      <c r="K14" s="88"/>
    </row>
    <row r="15" spans="1:15" x14ac:dyDescent="0.3">
      <c r="A15" s="1479">
        <v>8</v>
      </c>
      <c r="B15" s="1471" t="s">
        <v>2238</v>
      </c>
      <c r="C15" s="1460">
        <v>1700.4</v>
      </c>
      <c r="D15" s="1461">
        <v>1734</v>
      </c>
      <c r="E15" s="1461">
        <v>1748.4</v>
      </c>
      <c r="F15" s="1461">
        <v>1762.3</v>
      </c>
      <c r="G15" s="1461">
        <v>1775</v>
      </c>
      <c r="H15" s="1461">
        <v>1778.6</v>
      </c>
      <c r="I15" s="1461">
        <v>1781.3</v>
      </c>
      <c r="J15" s="1462">
        <v>1808.1</v>
      </c>
      <c r="K15" s="88"/>
    </row>
    <row r="16" spans="1:15" x14ac:dyDescent="0.3">
      <c r="A16" s="1479">
        <v>9</v>
      </c>
      <c r="B16" s="1471" t="s">
        <v>2239</v>
      </c>
      <c r="C16" s="1460">
        <v>6061.3</v>
      </c>
      <c r="D16" s="1461">
        <v>6154.8</v>
      </c>
      <c r="E16" s="1461">
        <v>6207.4</v>
      </c>
      <c r="F16" s="1461">
        <v>6259.8</v>
      </c>
      <c r="G16" s="1461">
        <v>6289.4</v>
      </c>
      <c r="H16" s="1461">
        <v>6316.1</v>
      </c>
      <c r="I16" s="1461">
        <v>6349.3</v>
      </c>
      <c r="J16" s="1462">
        <v>6400.5</v>
      </c>
      <c r="K16" s="88"/>
    </row>
    <row r="17" spans="1:13" ht="16.350000000000001" customHeight="1" x14ac:dyDescent="0.3">
      <c r="A17" s="1479">
        <v>10</v>
      </c>
      <c r="B17" s="1469" t="s">
        <v>2240</v>
      </c>
      <c r="C17" s="1460">
        <v>1603.9</v>
      </c>
      <c r="D17" s="1461">
        <v>1615.4</v>
      </c>
      <c r="E17" s="1461">
        <v>1624.8</v>
      </c>
      <c r="F17" s="1461">
        <v>1631.1</v>
      </c>
      <c r="G17" s="1461">
        <v>1634.7</v>
      </c>
      <c r="H17" s="1461">
        <v>1645</v>
      </c>
      <c r="I17" s="1461">
        <v>1649.7</v>
      </c>
      <c r="J17" s="1462">
        <v>1657.1</v>
      </c>
      <c r="K17" s="88"/>
    </row>
    <row r="18" spans="1:13" ht="16.350000000000001" customHeight="1" x14ac:dyDescent="0.3">
      <c r="A18" s="1479">
        <v>11</v>
      </c>
      <c r="B18" s="1450" t="s">
        <v>2241</v>
      </c>
      <c r="C18" s="1457">
        <v>2364.8000000000002</v>
      </c>
      <c r="D18" s="1458">
        <v>2382.3000000000002</v>
      </c>
      <c r="E18" s="1458">
        <v>2394.1</v>
      </c>
      <c r="F18" s="1458">
        <v>2405.5</v>
      </c>
      <c r="G18" s="1458">
        <v>2414.3000000000002</v>
      </c>
      <c r="H18" s="1458">
        <v>2423.8000000000002</v>
      </c>
      <c r="I18" s="1458">
        <v>2432.1</v>
      </c>
      <c r="J18" s="1459">
        <v>2445.4</v>
      </c>
      <c r="K18" s="1496"/>
    </row>
    <row r="19" spans="1:13" ht="16.2" x14ac:dyDescent="0.3">
      <c r="A19" s="1480">
        <v>12</v>
      </c>
      <c r="B19" s="1448" t="s">
        <v>2242</v>
      </c>
      <c r="C19" s="1460">
        <v>1608.1</v>
      </c>
      <c r="D19" s="1461">
        <v>1614.2</v>
      </c>
      <c r="E19" s="1461">
        <v>1620.2</v>
      </c>
      <c r="F19" s="1461">
        <v>1625.6</v>
      </c>
      <c r="G19" s="1461">
        <v>1630.6</v>
      </c>
      <c r="H19" s="1461">
        <v>1637.1</v>
      </c>
      <c r="I19" s="1461">
        <v>1642.7</v>
      </c>
      <c r="J19" s="1462">
        <v>1646.7</v>
      </c>
      <c r="K19" s="88"/>
    </row>
    <row r="20" spans="1:13" x14ac:dyDescent="0.3">
      <c r="A20" s="1480">
        <v>13</v>
      </c>
      <c r="B20" s="1473" t="s">
        <v>2243</v>
      </c>
      <c r="C20" s="1460">
        <v>756.8</v>
      </c>
      <c r="D20" s="1461">
        <v>768.1</v>
      </c>
      <c r="E20" s="1461">
        <v>774</v>
      </c>
      <c r="F20" s="1461">
        <v>779.9</v>
      </c>
      <c r="G20" s="1461">
        <v>783.7</v>
      </c>
      <c r="H20" s="1461">
        <v>786.7</v>
      </c>
      <c r="I20" s="1461">
        <v>789.5</v>
      </c>
      <c r="J20" s="1462">
        <v>798.7</v>
      </c>
      <c r="K20" s="88"/>
    </row>
    <row r="21" spans="1:13" ht="16.350000000000001" customHeight="1" x14ac:dyDescent="0.3">
      <c r="A21" s="1480">
        <v>14</v>
      </c>
      <c r="B21" s="1472" t="s">
        <v>2244</v>
      </c>
      <c r="C21" s="1457">
        <v>1842.6</v>
      </c>
      <c r="D21" s="1458">
        <v>1846.5</v>
      </c>
      <c r="E21" s="1458">
        <v>1869.7</v>
      </c>
      <c r="F21" s="1458">
        <v>1874.4</v>
      </c>
      <c r="G21" s="1458">
        <v>1878.8</v>
      </c>
      <c r="H21" s="1458">
        <v>1882</v>
      </c>
      <c r="I21" s="1458">
        <v>1889.8</v>
      </c>
      <c r="J21" s="1459">
        <v>1897.5</v>
      </c>
      <c r="K21" s="1496"/>
    </row>
    <row r="22" spans="1:13" x14ac:dyDescent="0.3">
      <c r="A22" s="1479">
        <v>15</v>
      </c>
      <c r="B22" s="1453" t="s">
        <v>2245</v>
      </c>
      <c r="C22" s="1460">
        <v>93.7</v>
      </c>
      <c r="D22" s="1461">
        <v>94.8</v>
      </c>
      <c r="E22" s="1461">
        <v>95.9</v>
      </c>
      <c r="F22" s="1461">
        <v>97.1</v>
      </c>
      <c r="G22" s="1461">
        <v>98.8</v>
      </c>
      <c r="H22" s="1461">
        <v>100.6</v>
      </c>
      <c r="I22" s="1461">
        <v>102.4</v>
      </c>
      <c r="J22" s="1462">
        <v>99.6</v>
      </c>
      <c r="K22" s="88"/>
    </row>
    <row r="23" spans="1:13" x14ac:dyDescent="0.3">
      <c r="A23" s="1479">
        <v>16</v>
      </c>
      <c r="B23" s="1453" t="s">
        <v>2246</v>
      </c>
      <c r="C23" s="1460">
        <v>1749</v>
      </c>
      <c r="D23" s="1461">
        <v>1751.7</v>
      </c>
      <c r="E23" s="1461">
        <v>1773.7</v>
      </c>
      <c r="F23" s="1461">
        <v>1777.4</v>
      </c>
      <c r="G23" s="1461">
        <v>1780</v>
      </c>
      <c r="H23" s="1461">
        <v>1781.3</v>
      </c>
      <c r="I23" s="1461">
        <v>1787.4</v>
      </c>
      <c r="J23" s="1462">
        <v>1797.9</v>
      </c>
      <c r="K23" s="88"/>
    </row>
    <row r="24" spans="1:13" x14ac:dyDescent="0.3">
      <c r="A24" s="1480">
        <v>17</v>
      </c>
      <c r="B24" s="1472" t="s">
        <v>2247</v>
      </c>
      <c r="C24" s="1457">
        <v>792</v>
      </c>
      <c r="D24" s="1458">
        <v>792.9</v>
      </c>
      <c r="E24" s="1458">
        <v>794.9</v>
      </c>
      <c r="F24" s="1458">
        <v>797</v>
      </c>
      <c r="G24" s="1458">
        <v>803.5</v>
      </c>
      <c r="H24" s="1458">
        <v>808.3</v>
      </c>
      <c r="I24" s="1458">
        <v>816.5</v>
      </c>
      <c r="J24" s="1459">
        <v>828.9</v>
      </c>
      <c r="K24" s="88"/>
    </row>
    <row r="25" spans="1:13" x14ac:dyDescent="0.3">
      <c r="A25" s="1479">
        <v>18</v>
      </c>
      <c r="B25" s="1449" t="s">
        <v>2248</v>
      </c>
      <c r="C25" s="1457">
        <v>3348.4</v>
      </c>
      <c r="D25" s="1458">
        <v>3350.6</v>
      </c>
      <c r="E25" s="1458">
        <v>3358.1</v>
      </c>
      <c r="F25" s="1458">
        <v>3367.7</v>
      </c>
      <c r="G25" s="1458">
        <v>3409.6</v>
      </c>
      <c r="H25" s="1458">
        <v>3415.1</v>
      </c>
      <c r="I25" s="1458">
        <v>3419.6</v>
      </c>
      <c r="J25" s="1459">
        <v>3437.1</v>
      </c>
      <c r="K25" s="88"/>
    </row>
    <row r="26" spans="1:13" x14ac:dyDescent="0.3">
      <c r="A26" s="1479">
        <v>19</v>
      </c>
      <c r="B26" s="1453" t="s">
        <v>2249</v>
      </c>
      <c r="C26" s="1460">
        <v>1724.6</v>
      </c>
      <c r="D26" s="1461">
        <v>1731.1</v>
      </c>
      <c r="E26" s="1461">
        <v>1738</v>
      </c>
      <c r="F26" s="1461">
        <v>1745.2</v>
      </c>
      <c r="G26" s="1461">
        <v>1763</v>
      </c>
      <c r="H26" s="1461">
        <v>1781.4</v>
      </c>
      <c r="I26" s="1461">
        <v>1800.6</v>
      </c>
      <c r="J26" s="1462">
        <v>1803.2</v>
      </c>
      <c r="K26" s="88"/>
    </row>
    <row r="27" spans="1:13" x14ac:dyDescent="0.3">
      <c r="A27" s="1479">
        <v>20</v>
      </c>
      <c r="B27" s="1453" t="s">
        <v>2250</v>
      </c>
      <c r="C27" s="1460">
        <v>1623.8</v>
      </c>
      <c r="D27" s="1461">
        <v>1619.5</v>
      </c>
      <c r="E27" s="1461">
        <v>1620.1</v>
      </c>
      <c r="F27" s="1461">
        <v>1622.6</v>
      </c>
      <c r="G27" s="1461">
        <v>1646.6</v>
      </c>
      <c r="H27" s="1461">
        <v>1633.7</v>
      </c>
      <c r="I27" s="1461">
        <v>1619</v>
      </c>
      <c r="J27" s="1462">
        <v>1633.9</v>
      </c>
      <c r="K27" s="88"/>
    </row>
    <row r="28" spans="1:13" x14ac:dyDescent="0.3">
      <c r="A28" s="1479">
        <v>21</v>
      </c>
      <c r="B28" s="1449" t="s">
        <v>2251</v>
      </c>
      <c r="C28" s="1457">
        <v>3896.4</v>
      </c>
      <c r="D28" s="1458">
        <v>3891.7</v>
      </c>
      <c r="E28" s="1458">
        <v>3893.9</v>
      </c>
      <c r="F28" s="1458">
        <v>3892.9</v>
      </c>
      <c r="G28" s="1458">
        <v>3983.2</v>
      </c>
      <c r="H28" s="1458">
        <v>3999.2</v>
      </c>
      <c r="I28" s="1458">
        <v>4003.8</v>
      </c>
      <c r="J28" s="1459">
        <v>4003.4</v>
      </c>
      <c r="K28" s="88"/>
    </row>
    <row r="29" spans="1:13" x14ac:dyDescent="0.3">
      <c r="A29" s="1479">
        <v>22</v>
      </c>
      <c r="B29" s="1453" t="s">
        <v>2252</v>
      </c>
      <c r="C29" s="1460">
        <v>3814.4</v>
      </c>
      <c r="D29" s="1461">
        <v>3821.1</v>
      </c>
      <c r="E29" s="1461">
        <v>3824.5</v>
      </c>
      <c r="F29" s="1461">
        <v>3823.5</v>
      </c>
      <c r="G29" s="1461">
        <v>3913.8</v>
      </c>
      <c r="H29" s="1461">
        <v>3929.7</v>
      </c>
      <c r="I29" s="1461">
        <v>3934.2</v>
      </c>
      <c r="J29" s="1462">
        <v>3932</v>
      </c>
      <c r="K29" s="88"/>
      <c r="L29" s="92"/>
      <c r="M29" s="127"/>
    </row>
    <row r="30" spans="1:13" ht="16.2" x14ac:dyDescent="0.3">
      <c r="A30" s="1479">
        <v>23</v>
      </c>
      <c r="B30" s="1469" t="s">
        <v>2253</v>
      </c>
      <c r="C30" s="1460">
        <v>1209</v>
      </c>
      <c r="D30" s="1461">
        <v>1211.0999999999999</v>
      </c>
      <c r="E30" s="1461">
        <v>1215.9000000000001</v>
      </c>
      <c r="F30" s="1461">
        <v>1216.9000000000001</v>
      </c>
      <c r="G30" s="1461">
        <v>1229.4000000000001</v>
      </c>
      <c r="H30" s="1461">
        <v>1224.7</v>
      </c>
      <c r="I30" s="1461">
        <v>1223.9000000000001</v>
      </c>
      <c r="J30" s="1462">
        <v>1333.6</v>
      </c>
      <c r="K30" s="129">
        <f>'Social Benefits'!U60</f>
        <v>1340.6772179999998</v>
      </c>
    </row>
    <row r="31" spans="1:13" ht="16.350000000000001" customHeight="1" x14ac:dyDescent="0.3">
      <c r="A31" s="1479">
        <v>24</v>
      </c>
      <c r="B31" s="1469" t="s">
        <v>2254</v>
      </c>
      <c r="C31" s="1460">
        <v>916.6</v>
      </c>
      <c r="D31" s="1461">
        <v>914.1</v>
      </c>
      <c r="E31" s="1461">
        <v>920.1</v>
      </c>
      <c r="F31" s="1461">
        <v>926.7</v>
      </c>
      <c r="G31" s="1461">
        <v>933.8</v>
      </c>
      <c r="H31" s="1461">
        <v>941.5</v>
      </c>
      <c r="I31" s="1461">
        <v>949.7</v>
      </c>
      <c r="J31" s="1462">
        <v>958.4</v>
      </c>
      <c r="K31" s="90">
        <f>Medicare!U10</f>
        <v>958.68725729225423</v>
      </c>
    </row>
    <row r="32" spans="1:13" x14ac:dyDescent="0.3">
      <c r="A32" s="1479">
        <v>25</v>
      </c>
      <c r="B32" s="1469" t="s">
        <v>54</v>
      </c>
      <c r="C32" s="1460">
        <v>797.2</v>
      </c>
      <c r="D32" s="1461">
        <v>790.3</v>
      </c>
      <c r="E32" s="1461">
        <v>785.3</v>
      </c>
      <c r="F32" s="1461">
        <v>782.8</v>
      </c>
      <c r="G32" s="1461">
        <v>789.6</v>
      </c>
      <c r="H32" s="1461">
        <v>794</v>
      </c>
      <c r="I32" s="1461">
        <v>796.5</v>
      </c>
      <c r="J32" s="1462">
        <v>795.8</v>
      </c>
      <c r="K32" s="90">
        <f>forecast!D11</f>
        <v>796.61590660115485</v>
      </c>
      <c r="L32" s="92"/>
      <c r="M32" s="127"/>
    </row>
    <row r="33" spans="1:13" x14ac:dyDescent="0.3">
      <c r="A33" s="1479">
        <v>26</v>
      </c>
      <c r="B33" s="1469" t="s">
        <v>308</v>
      </c>
      <c r="C33" s="1460">
        <v>18.100000000000001</v>
      </c>
      <c r="D33" s="1461">
        <v>18.7</v>
      </c>
      <c r="E33" s="1461">
        <v>18.899999999999999</v>
      </c>
      <c r="F33" s="1461">
        <v>18</v>
      </c>
      <c r="G33" s="1461">
        <v>18.899999999999999</v>
      </c>
      <c r="H33" s="1461">
        <v>20.7</v>
      </c>
      <c r="I33" s="1461">
        <v>21.6</v>
      </c>
      <c r="J33" s="1462">
        <v>21.3</v>
      </c>
      <c r="K33" s="90">
        <f>forecast!D9+forecast!D8</f>
        <v>22.830999999999996</v>
      </c>
      <c r="L33" s="92"/>
      <c r="M33" s="127"/>
    </row>
    <row r="34" spans="1:13" ht="16.350000000000001" customHeight="1" x14ac:dyDescent="0.3">
      <c r="A34" s="1479">
        <v>27</v>
      </c>
      <c r="B34" s="1469" t="s">
        <v>2255</v>
      </c>
      <c r="C34" s="1460">
        <v>160.4</v>
      </c>
      <c r="D34" s="1461">
        <v>161.1</v>
      </c>
      <c r="E34" s="1461">
        <v>161.6</v>
      </c>
      <c r="F34" s="1461">
        <v>162.5</v>
      </c>
      <c r="G34" s="1461">
        <v>163.19999999999999</v>
      </c>
      <c r="H34" s="1461">
        <v>164</v>
      </c>
      <c r="I34" s="1461">
        <v>164.8</v>
      </c>
      <c r="J34" s="1462">
        <v>165.5</v>
      </c>
      <c r="K34" s="88"/>
    </row>
    <row r="35" spans="1:13" x14ac:dyDescent="0.3">
      <c r="A35" s="1479">
        <v>28</v>
      </c>
      <c r="B35" s="1469" t="s">
        <v>585</v>
      </c>
      <c r="C35" s="1460">
        <v>713.2</v>
      </c>
      <c r="D35" s="1461">
        <v>725.8</v>
      </c>
      <c r="E35" s="1461">
        <v>722.7</v>
      </c>
      <c r="F35" s="1461">
        <v>716.6</v>
      </c>
      <c r="G35" s="1461">
        <v>778.9</v>
      </c>
      <c r="H35" s="1461">
        <v>785</v>
      </c>
      <c r="I35" s="1461">
        <v>777.6</v>
      </c>
      <c r="J35" s="1462">
        <v>657.4</v>
      </c>
      <c r="K35" s="88"/>
    </row>
    <row r="36" spans="1:13" x14ac:dyDescent="0.3">
      <c r="A36" s="1479">
        <v>29</v>
      </c>
      <c r="B36" s="1452" t="s">
        <v>2256</v>
      </c>
      <c r="C36" s="1460">
        <v>82</v>
      </c>
      <c r="D36" s="1461">
        <v>70.7</v>
      </c>
      <c r="E36" s="1461">
        <v>69.400000000000006</v>
      </c>
      <c r="F36" s="1461">
        <v>69.400000000000006</v>
      </c>
      <c r="G36" s="1461">
        <v>69.400000000000006</v>
      </c>
      <c r="H36" s="1461">
        <v>69.5</v>
      </c>
      <c r="I36" s="1461">
        <v>69.599999999999994</v>
      </c>
      <c r="J36" s="1462">
        <v>71.400000000000006</v>
      </c>
      <c r="K36" s="88"/>
    </row>
    <row r="37" spans="1:13" x14ac:dyDescent="0.3">
      <c r="A37" s="1479">
        <v>30</v>
      </c>
      <c r="B37" s="1472" t="s">
        <v>2257</v>
      </c>
      <c r="C37" s="1457">
        <v>1661.3</v>
      </c>
      <c r="D37" s="1458">
        <v>1683.6</v>
      </c>
      <c r="E37" s="1458">
        <v>1695.6</v>
      </c>
      <c r="F37" s="1458">
        <v>1707.7</v>
      </c>
      <c r="G37" s="1458">
        <v>1715.4</v>
      </c>
      <c r="H37" s="1458">
        <v>1721.7</v>
      </c>
      <c r="I37" s="1458">
        <v>1727.5</v>
      </c>
      <c r="J37" s="1459">
        <v>1754.1</v>
      </c>
      <c r="K37" s="129">
        <f>Taxes!U13+Taxes!U25</f>
        <v>1744.6944373767442</v>
      </c>
    </row>
    <row r="38" spans="1:13" x14ac:dyDescent="0.3">
      <c r="A38" s="1479">
        <v>31</v>
      </c>
      <c r="B38" s="1476" t="s">
        <v>272</v>
      </c>
      <c r="C38" s="1457">
        <v>3198.5</v>
      </c>
      <c r="D38" s="1458">
        <v>3224.2</v>
      </c>
      <c r="E38" s="1458">
        <v>3236.7</v>
      </c>
      <c r="F38" s="1458">
        <v>3248.6</v>
      </c>
      <c r="G38" s="1458">
        <v>3242.9</v>
      </c>
      <c r="H38" s="1458">
        <v>3230.6</v>
      </c>
      <c r="I38" s="1458">
        <v>3223.9</v>
      </c>
      <c r="J38" s="1459">
        <v>2967.6</v>
      </c>
      <c r="K38" s="129">
        <f>Taxes!U10+Taxes!U24</f>
        <v>3161.2690691490393</v>
      </c>
    </row>
    <row r="39" spans="1:13" x14ac:dyDescent="0.3">
      <c r="A39" s="1479">
        <v>32</v>
      </c>
      <c r="B39" s="1476" t="s">
        <v>2258</v>
      </c>
      <c r="C39" s="1457">
        <v>18488.5</v>
      </c>
      <c r="D39" s="1458">
        <v>18628.099999999999</v>
      </c>
      <c r="E39" s="1458">
        <v>18739.099999999999</v>
      </c>
      <c r="F39" s="1458">
        <v>18831.7</v>
      </c>
      <c r="G39" s="1458">
        <v>19038.099999999999</v>
      </c>
      <c r="H39" s="1458">
        <v>19129.8</v>
      </c>
      <c r="I39" s="1458">
        <v>19207.400000000001</v>
      </c>
      <c r="J39" s="1459">
        <v>19594.8</v>
      </c>
      <c r="K39" s="88"/>
    </row>
    <row r="40" spans="1:13" x14ac:dyDescent="0.3">
      <c r="A40" s="1479">
        <v>33</v>
      </c>
      <c r="B40" s="1476" t="s">
        <v>274</v>
      </c>
      <c r="C40" s="1457">
        <v>17982.2</v>
      </c>
      <c r="D40" s="1458">
        <v>17983.400000000001</v>
      </c>
      <c r="E40" s="1458">
        <v>18132.7</v>
      </c>
      <c r="F40" s="1458">
        <v>18257.400000000001</v>
      </c>
      <c r="G40" s="1458">
        <v>18392.3</v>
      </c>
      <c r="H40" s="1458">
        <v>18368.8</v>
      </c>
      <c r="I40" s="1458">
        <v>18349.2</v>
      </c>
      <c r="J40" s="1459">
        <v>18676</v>
      </c>
      <c r="K40" s="88"/>
    </row>
    <row r="41" spans="1:13" x14ac:dyDescent="0.3">
      <c r="A41" s="1479">
        <v>34</v>
      </c>
      <c r="B41" s="1477" t="s">
        <v>1802</v>
      </c>
      <c r="C41" s="1460">
        <v>17437.400000000001</v>
      </c>
      <c r="D41" s="1461">
        <v>17420.3</v>
      </c>
      <c r="E41" s="1461">
        <v>17550.900000000001</v>
      </c>
      <c r="F41" s="1461">
        <v>17656.8</v>
      </c>
      <c r="G41" s="1461">
        <v>17788.599999999999</v>
      </c>
      <c r="H41" s="1461">
        <v>17761.400000000001</v>
      </c>
      <c r="I41" s="1461">
        <v>17738.2</v>
      </c>
      <c r="J41" s="1462">
        <v>18050.7</v>
      </c>
      <c r="K41" s="88"/>
      <c r="L41" t="s">
        <v>2281</v>
      </c>
    </row>
    <row r="42" spans="1:13" ht="16.350000000000001" customHeight="1" x14ac:dyDescent="0.3">
      <c r="A42" s="1479">
        <v>35</v>
      </c>
      <c r="B42" s="1453" t="s">
        <v>1848</v>
      </c>
      <c r="C42" s="1460">
        <v>6033.9</v>
      </c>
      <c r="D42" s="1461">
        <v>5988.2</v>
      </c>
      <c r="E42" s="1461">
        <v>5981.9</v>
      </c>
      <c r="F42" s="1461">
        <v>5995.6</v>
      </c>
      <c r="G42" s="1461">
        <v>6064</v>
      </c>
      <c r="H42" s="1461">
        <v>5974</v>
      </c>
      <c r="I42" s="1461">
        <v>5880.6</v>
      </c>
      <c r="J42" s="1462">
        <v>6042.9</v>
      </c>
      <c r="K42" s="1497"/>
      <c r="L42" s="92"/>
      <c r="M42" s="127"/>
    </row>
    <row r="43" spans="1:13" ht="16.350000000000001" customHeight="1" x14ac:dyDescent="0.3">
      <c r="A43" s="1479">
        <v>36</v>
      </c>
      <c r="B43" s="1469" t="s">
        <v>2259</v>
      </c>
      <c r="C43" s="1460">
        <v>2189.1</v>
      </c>
      <c r="D43" s="1461">
        <v>2189.5</v>
      </c>
      <c r="E43" s="1461">
        <v>2197.8000000000002</v>
      </c>
      <c r="F43" s="1461">
        <v>2200.1999999999998</v>
      </c>
      <c r="G43" s="1461">
        <v>2239</v>
      </c>
      <c r="H43" s="1461">
        <v>2167.5</v>
      </c>
      <c r="I43" s="1461">
        <v>2125.1</v>
      </c>
      <c r="J43" s="1462">
        <v>2241.6999999999998</v>
      </c>
      <c r="K43" s="1496"/>
      <c r="L43" s="92"/>
      <c r="M43" s="127"/>
    </row>
    <row r="44" spans="1:13" ht="16.350000000000001" customHeight="1" x14ac:dyDescent="0.3">
      <c r="A44" s="1479">
        <v>37</v>
      </c>
      <c r="B44" s="1469" t="s">
        <v>2260</v>
      </c>
      <c r="C44" s="1460">
        <v>3844.8</v>
      </c>
      <c r="D44" s="1461">
        <v>3798.7</v>
      </c>
      <c r="E44" s="1461">
        <v>3784.1</v>
      </c>
      <c r="F44" s="1461">
        <v>3795.4</v>
      </c>
      <c r="G44" s="1461">
        <v>3824.9</v>
      </c>
      <c r="H44" s="1461">
        <v>3806.5</v>
      </c>
      <c r="I44" s="1461">
        <v>3755.5</v>
      </c>
      <c r="J44" s="1462">
        <v>3801.2</v>
      </c>
      <c r="K44" s="1496"/>
      <c r="L44" s="92"/>
      <c r="M44" s="127"/>
    </row>
    <row r="45" spans="1:13" ht="16.350000000000001" customHeight="1" x14ac:dyDescent="0.3">
      <c r="A45" s="1479">
        <v>38</v>
      </c>
      <c r="B45" s="1453" t="s">
        <v>1854</v>
      </c>
      <c r="C45" s="1460">
        <v>11403.5</v>
      </c>
      <c r="D45" s="1461">
        <v>11432.1</v>
      </c>
      <c r="E45" s="1461">
        <v>11568.9</v>
      </c>
      <c r="F45" s="1461">
        <v>11661.2</v>
      </c>
      <c r="G45" s="1461">
        <v>11724.7</v>
      </c>
      <c r="H45" s="1461">
        <v>11787.5</v>
      </c>
      <c r="I45" s="1461">
        <v>11857.5</v>
      </c>
      <c r="J45" s="1462">
        <v>12007.8</v>
      </c>
      <c r="K45" s="1496"/>
      <c r="L45" s="92"/>
      <c r="M45" s="127"/>
    </row>
    <row r="46" spans="1:13" ht="16.350000000000001" customHeight="1" x14ac:dyDescent="0.3">
      <c r="A46" s="1479">
        <v>39</v>
      </c>
      <c r="B46" s="1477" t="s">
        <v>2261</v>
      </c>
      <c r="C46" s="1460">
        <v>320.2</v>
      </c>
      <c r="D46" s="1461">
        <v>338.7</v>
      </c>
      <c r="E46" s="1461">
        <v>357.1</v>
      </c>
      <c r="F46" s="1461">
        <v>375.6</v>
      </c>
      <c r="G46" s="1461">
        <v>379.1</v>
      </c>
      <c r="H46" s="1461">
        <v>382.7</v>
      </c>
      <c r="I46" s="1461">
        <v>386.2</v>
      </c>
      <c r="J46" s="1462">
        <v>400.4</v>
      </c>
      <c r="K46" s="1497"/>
      <c r="L46" s="92"/>
      <c r="M46" s="127"/>
    </row>
    <row r="47" spans="1:13" x14ac:dyDescent="0.3">
      <c r="A47" s="1479">
        <v>40</v>
      </c>
      <c r="B47" s="1477" t="s">
        <v>2262</v>
      </c>
      <c r="C47" s="1460">
        <v>224.6</v>
      </c>
      <c r="D47" s="1461">
        <v>224.4</v>
      </c>
      <c r="E47" s="1461">
        <v>224.7</v>
      </c>
      <c r="F47" s="1461">
        <v>225</v>
      </c>
      <c r="G47" s="1461">
        <v>224.5</v>
      </c>
      <c r="H47" s="1461">
        <v>224.7</v>
      </c>
      <c r="I47" s="1461">
        <v>224.8</v>
      </c>
      <c r="J47" s="1462">
        <v>225</v>
      </c>
      <c r="K47" s="88"/>
      <c r="L47" s="92"/>
      <c r="M47" s="127"/>
    </row>
    <row r="48" spans="1:13" x14ac:dyDescent="0.3">
      <c r="A48" s="1479">
        <v>41</v>
      </c>
      <c r="B48" s="1453" t="s">
        <v>2263</v>
      </c>
      <c r="C48" s="1460">
        <v>115.8</v>
      </c>
      <c r="D48" s="1461">
        <v>116.1</v>
      </c>
      <c r="E48" s="1461">
        <v>116.4</v>
      </c>
      <c r="F48" s="1461">
        <v>116.7</v>
      </c>
      <c r="G48" s="1461">
        <v>116.9</v>
      </c>
      <c r="H48" s="1461">
        <v>117.1</v>
      </c>
      <c r="I48" s="1461">
        <v>117.2</v>
      </c>
      <c r="J48" s="1462">
        <v>117.3</v>
      </c>
      <c r="L48" s="92"/>
      <c r="M48" s="127"/>
    </row>
    <row r="49" spans="1:13" x14ac:dyDescent="0.3">
      <c r="A49" s="1479">
        <v>42</v>
      </c>
      <c r="B49" s="1453" t="s">
        <v>2264</v>
      </c>
      <c r="C49" s="1460">
        <v>108.8</v>
      </c>
      <c r="D49" s="1461">
        <v>108.3</v>
      </c>
      <c r="E49" s="1461">
        <v>108.3</v>
      </c>
      <c r="F49" s="1461">
        <v>108.3</v>
      </c>
      <c r="G49" s="1461">
        <v>107.6</v>
      </c>
      <c r="H49" s="1461">
        <v>107.6</v>
      </c>
      <c r="I49" s="1461">
        <v>107.6</v>
      </c>
      <c r="J49" s="1462">
        <v>107.6</v>
      </c>
      <c r="L49" s="92"/>
      <c r="M49" s="127"/>
    </row>
    <row r="50" spans="1:13" x14ac:dyDescent="0.3">
      <c r="A50" s="1479">
        <v>43</v>
      </c>
      <c r="B50" s="1476" t="s">
        <v>281</v>
      </c>
      <c r="C50" s="1457">
        <v>506.3</v>
      </c>
      <c r="D50" s="1458">
        <v>644.70000000000005</v>
      </c>
      <c r="E50" s="1458">
        <v>606.4</v>
      </c>
      <c r="F50" s="1458">
        <v>574.4</v>
      </c>
      <c r="G50" s="1458">
        <v>645.79999999999995</v>
      </c>
      <c r="H50" s="1458">
        <v>761</v>
      </c>
      <c r="I50" s="1458">
        <v>858.2</v>
      </c>
      <c r="J50" s="1459">
        <v>918.8</v>
      </c>
      <c r="K50" s="88"/>
      <c r="L50" s="70"/>
    </row>
    <row r="51" spans="1:13" x14ac:dyDescent="0.3">
      <c r="A51" s="1480">
        <v>44</v>
      </c>
      <c r="B51" s="1472" t="s">
        <v>2265</v>
      </c>
      <c r="C51" s="1457">
        <v>2.7</v>
      </c>
      <c r="D51" s="1458">
        <v>3.5</v>
      </c>
      <c r="E51" s="1458">
        <v>3.2</v>
      </c>
      <c r="F51" s="1458">
        <v>3</v>
      </c>
      <c r="G51" s="1458">
        <v>3.4</v>
      </c>
      <c r="H51" s="1458">
        <v>4</v>
      </c>
      <c r="I51" s="1458">
        <v>4.5</v>
      </c>
      <c r="J51" s="1459">
        <v>4.7</v>
      </c>
      <c r="K51" s="88"/>
      <c r="L51" s="70"/>
    </row>
    <row r="52" spans="1:13" x14ac:dyDescent="0.3">
      <c r="A52" s="1479"/>
      <c r="B52" s="1476" t="s">
        <v>1855</v>
      </c>
      <c r="C52" s="1457"/>
      <c r="D52" s="1458"/>
      <c r="E52" s="1458"/>
      <c r="F52" s="1458"/>
      <c r="G52" s="1458"/>
      <c r="H52" s="1458"/>
      <c r="I52" s="1458"/>
      <c r="J52" s="1459"/>
      <c r="K52" s="88"/>
    </row>
    <row r="53" spans="1:13" ht="30.6" x14ac:dyDescent="0.3">
      <c r="A53" s="1480">
        <v>45</v>
      </c>
      <c r="B53" s="1472" t="s">
        <v>2266</v>
      </c>
      <c r="C53" s="1457">
        <v>14407.9</v>
      </c>
      <c r="D53" s="1458">
        <v>14559.1</v>
      </c>
      <c r="E53" s="1458">
        <v>14618.2</v>
      </c>
      <c r="F53" s="1458">
        <v>14653.2</v>
      </c>
      <c r="G53" s="1458">
        <v>14681.4</v>
      </c>
      <c r="H53" s="1458">
        <v>14707.8</v>
      </c>
      <c r="I53" s="1458">
        <v>14731.2</v>
      </c>
      <c r="J53" s="1459">
        <v>14745</v>
      </c>
      <c r="K53" s="88"/>
    </row>
    <row r="54" spans="1:13" x14ac:dyDescent="0.3">
      <c r="A54" s="1479"/>
      <c r="B54" s="1449" t="s">
        <v>2267</v>
      </c>
      <c r="C54" s="1457"/>
      <c r="D54" s="1458"/>
      <c r="E54" s="1458"/>
      <c r="F54" s="1458"/>
      <c r="G54" s="1458"/>
      <c r="H54" s="1458"/>
      <c r="I54" s="1458"/>
      <c r="J54" s="1459"/>
      <c r="K54" s="88"/>
    </row>
    <row r="55" spans="1:13" ht="16.350000000000001" customHeight="1" x14ac:dyDescent="0.3">
      <c r="A55" s="1479">
        <v>46</v>
      </c>
      <c r="B55" s="1452" t="s">
        <v>2268</v>
      </c>
      <c r="C55" s="1460">
        <v>14973.1</v>
      </c>
      <c r="D55" s="1461">
        <v>15100.2</v>
      </c>
      <c r="E55" s="1461">
        <v>15149.6</v>
      </c>
      <c r="F55" s="1461">
        <v>15172.2</v>
      </c>
      <c r="G55" s="1461">
        <v>15275.4</v>
      </c>
      <c r="H55" s="1461">
        <v>15323.4</v>
      </c>
      <c r="I55" s="1461">
        <v>15354.7</v>
      </c>
      <c r="J55" s="1462">
        <v>15567.9</v>
      </c>
      <c r="K55" s="88"/>
    </row>
    <row r="56" spans="1:13" x14ac:dyDescent="0.3">
      <c r="A56" s="1479"/>
      <c r="B56" s="1453" t="s">
        <v>2269</v>
      </c>
      <c r="C56" s="1460"/>
      <c r="D56" s="1461"/>
      <c r="E56" s="1461"/>
      <c r="F56" s="1461"/>
      <c r="G56" s="1461"/>
      <c r="H56" s="1461"/>
      <c r="I56" s="1461"/>
      <c r="J56" s="1462"/>
      <c r="K56" s="88"/>
    </row>
    <row r="57" spans="1:13" x14ac:dyDescent="0.3">
      <c r="A57" s="1479">
        <v>47</v>
      </c>
      <c r="B57" s="1469" t="s">
        <v>2270</v>
      </c>
      <c r="C57" s="1463">
        <v>55444</v>
      </c>
      <c r="D57" s="1464">
        <v>55836</v>
      </c>
      <c r="E57" s="1464">
        <v>56139</v>
      </c>
      <c r="F57" s="1464">
        <v>56387</v>
      </c>
      <c r="G57" s="1464">
        <v>56976</v>
      </c>
      <c r="H57" s="1464">
        <v>57226</v>
      </c>
      <c r="I57" s="1464">
        <v>57435</v>
      </c>
      <c r="J57" s="1465">
        <v>58573</v>
      </c>
      <c r="K57" s="88"/>
    </row>
    <row r="58" spans="1:13" x14ac:dyDescent="0.3">
      <c r="A58" s="1479">
        <v>48</v>
      </c>
      <c r="B58" s="1469" t="s">
        <v>2271</v>
      </c>
      <c r="C58" s="1463">
        <v>44902</v>
      </c>
      <c r="D58" s="1464">
        <v>45261</v>
      </c>
      <c r="E58" s="1464">
        <v>45385</v>
      </c>
      <c r="F58" s="1464">
        <v>45429</v>
      </c>
      <c r="G58" s="1464">
        <v>45716</v>
      </c>
      <c r="H58" s="1464">
        <v>45839</v>
      </c>
      <c r="I58" s="1464">
        <v>45915</v>
      </c>
      <c r="J58" s="1465">
        <v>46536</v>
      </c>
      <c r="K58" s="88"/>
    </row>
    <row r="59" spans="1:13" ht="15" customHeight="1" x14ac:dyDescent="0.3">
      <c r="A59" s="1481">
        <v>49</v>
      </c>
      <c r="B59" s="1477" t="s">
        <v>2272</v>
      </c>
      <c r="C59" s="1466">
        <v>333460</v>
      </c>
      <c r="D59" s="1467">
        <v>333624</v>
      </c>
      <c r="E59" s="1467">
        <v>333799</v>
      </c>
      <c r="F59" s="1467">
        <v>333976</v>
      </c>
      <c r="G59" s="1467">
        <v>334141</v>
      </c>
      <c r="H59" s="1467">
        <v>334287</v>
      </c>
      <c r="I59" s="1467">
        <v>334420</v>
      </c>
      <c r="J59" s="1468">
        <v>334533</v>
      </c>
      <c r="K59" s="93"/>
    </row>
    <row r="60" spans="1:13" x14ac:dyDescent="0.3">
      <c r="A60" s="1484" t="s">
        <v>2273</v>
      </c>
      <c r="B60" s="1484"/>
      <c r="C60" s="1484"/>
      <c r="D60" s="1484"/>
      <c r="E60" s="1484"/>
      <c r="F60" s="1484"/>
      <c r="G60" s="1484"/>
      <c r="H60" s="1484"/>
      <c r="I60" s="1484"/>
      <c r="J60" s="1484"/>
    </row>
    <row r="61" spans="1:13" x14ac:dyDescent="0.3">
      <c r="A61" s="1485" t="s">
        <v>2274</v>
      </c>
      <c r="B61" s="1485"/>
      <c r="C61" s="1485"/>
      <c r="D61" s="1485"/>
      <c r="E61" s="1485"/>
      <c r="F61" s="1485"/>
      <c r="G61" s="1485"/>
      <c r="H61" s="1485"/>
      <c r="I61" s="1485"/>
      <c r="J61" s="1485"/>
    </row>
    <row r="62" spans="1:13" x14ac:dyDescent="0.3">
      <c r="A62" s="1485" t="s">
        <v>2275</v>
      </c>
      <c r="B62" s="1485"/>
      <c r="C62" s="1485"/>
      <c r="D62" s="1485"/>
      <c r="E62" s="1485"/>
      <c r="F62" s="1485"/>
      <c r="G62" s="1485"/>
      <c r="H62" s="1485"/>
      <c r="I62" s="1485"/>
      <c r="J62" s="1485"/>
    </row>
    <row r="63" spans="1:13" x14ac:dyDescent="0.3">
      <c r="A63" s="1485" t="s">
        <v>2276</v>
      </c>
      <c r="B63" s="1485"/>
      <c r="C63" s="1485"/>
      <c r="D63" s="1485"/>
      <c r="E63" s="1485"/>
      <c r="F63" s="1485"/>
      <c r="G63" s="1485"/>
      <c r="H63" s="1485"/>
      <c r="I63" s="1485"/>
      <c r="J63" s="1485"/>
    </row>
    <row r="64" spans="1:13" x14ac:dyDescent="0.3">
      <c r="A64" s="1485" t="s">
        <v>2277</v>
      </c>
      <c r="B64" s="1485"/>
      <c r="C64" s="1485"/>
      <c r="D64" s="1485"/>
      <c r="E64" s="1485"/>
      <c r="F64" s="1485"/>
      <c r="G64" s="1485"/>
      <c r="H64" s="1485"/>
      <c r="I64" s="1485"/>
      <c r="J64" s="1485"/>
    </row>
    <row r="65" spans="1:10" x14ac:dyDescent="0.3">
      <c r="A65" s="1485" t="s">
        <v>2278</v>
      </c>
      <c r="B65" s="1485"/>
      <c r="C65" s="1485"/>
      <c r="D65" s="1485"/>
      <c r="E65" s="1485"/>
      <c r="F65" s="1485"/>
      <c r="G65" s="1485"/>
      <c r="H65" s="1485"/>
      <c r="I65" s="1485"/>
      <c r="J65" s="1485"/>
    </row>
    <row r="66" spans="1:10" ht="14.4" customHeight="1" x14ac:dyDescent="0.3">
      <c r="A66" s="1485" t="s">
        <v>2279</v>
      </c>
      <c r="B66" s="1485"/>
      <c r="C66" s="1485"/>
      <c r="D66" s="1485"/>
      <c r="E66" s="1485"/>
      <c r="F66" s="1485"/>
      <c r="G66" s="1485"/>
      <c r="H66" s="1485"/>
      <c r="I66" s="1485"/>
      <c r="J66" s="1485"/>
    </row>
    <row r="67" spans="1:10" ht="14.4" customHeight="1" x14ac:dyDescent="0.3">
      <c r="A67" s="1486" t="s">
        <v>2280</v>
      </c>
      <c r="B67" s="1486"/>
      <c r="C67" s="1486"/>
      <c r="D67" s="1486"/>
      <c r="E67" s="1486"/>
      <c r="F67" s="1486"/>
      <c r="G67" s="1486"/>
      <c r="H67" s="1486"/>
      <c r="I67" s="1486"/>
      <c r="J67" s="1486"/>
    </row>
    <row r="68" spans="1:10" ht="14.4" customHeight="1" x14ac:dyDescent="0.3">
      <c r="A68" s="1487" t="s">
        <v>291</v>
      </c>
      <c r="B68" s="1487"/>
      <c r="C68" s="1487"/>
      <c r="D68" s="1487"/>
      <c r="E68" s="1487"/>
      <c r="F68" s="1487"/>
      <c r="G68" s="1487"/>
      <c r="H68" s="1487"/>
      <c r="I68" s="1487"/>
      <c r="J68" s="1487"/>
    </row>
    <row r="69" spans="1:10" x14ac:dyDescent="0.3">
      <c r="A69" s="1260" t="s">
        <v>946</v>
      </c>
      <c r="B69" s="1260"/>
      <c r="C69" s="1260"/>
      <c r="D69" s="1260"/>
      <c r="E69" s="1260"/>
      <c r="F69" s="1260"/>
      <c r="G69" s="1260"/>
    </row>
    <row r="70" spans="1:10" x14ac:dyDescent="0.3">
      <c r="A70" s="1261" t="s">
        <v>947</v>
      </c>
      <c r="B70" s="1261"/>
      <c r="C70" s="1261"/>
      <c r="D70" s="1261"/>
      <c r="E70" s="1261"/>
      <c r="F70" s="1261"/>
      <c r="G70" s="1261"/>
    </row>
    <row r="71" spans="1:10" x14ac:dyDescent="0.3">
      <c r="A71" s="1259" t="s">
        <v>948</v>
      </c>
      <c r="B71" s="1259"/>
      <c r="C71" s="1259"/>
      <c r="D71" s="1259"/>
      <c r="E71" s="1259"/>
      <c r="F71" s="1259"/>
      <c r="G71" s="1259"/>
    </row>
    <row r="72" spans="1:10" x14ac:dyDescent="0.3">
      <c r="A72" s="1258" t="s">
        <v>949</v>
      </c>
      <c r="B72" s="1258"/>
      <c r="C72" s="1258"/>
      <c r="D72" s="1258"/>
      <c r="E72" s="1258"/>
      <c r="F72" s="1258"/>
      <c r="G72" s="1258"/>
    </row>
    <row r="73" spans="1:10" x14ac:dyDescent="0.3">
      <c r="A73" s="1258" t="s">
        <v>950</v>
      </c>
      <c r="B73" s="1258"/>
      <c r="C73" s="1258"/>
      <c r="D73" s="1258"/>
      <c r="E73" s="1258"/>
      <c r="F73" s="1258"/>
      <c r="G73" s="1258"/>
    </row>
    <row r="74" spans="1:10" x14ac:dyDescent="0.3">
      <c r="A74" s="1259" t="s">
        <v>951</v>
      </c>
      <c r="B74" s="1259"/>
      <c r="C74" s="1259"/>
      <c r="D74" s="1259"/>
      <c r="E74" s="1259"/>
      <c r="F74" s="1259"/>
      <c r="G74" s="1259"/>
    </row>
    <row r="76" spans="1:10" x14ac:dyDescent="0.3">
      <c r="A76" s="1260" t="s">
        <v>952</v>
      </c>
      <c r="B76" s="1260"/>
      <c r="C76" s="1260"/>
      <c r="D76" s="1260"/>
      <c r="E76" s="1260"/>
      <c r="F76" s="1260"/>
      <c r="G76" s="1260"/>
    </row>
    <row r="78" spans="1:10" x14ac:dyDescent="0.3">
      <c r="A78" s="1221" t="s">
        <v>290</v>
      </c>
    </row>
    <row r="80" spans="1:10" x14ac:dyDescent="0.3">
      <c r="A80" s="1221" t="s">
        <v>291</v>
      </c>
    </row>
    <row r="82" spans="1:1" x14ac:dyDescent="0.3">
      <c r="A82" s="140"/>
    </row>
    <row r="88" spans="1:1" x14ac:dyDescent="0.3">
      <c r="A88" s="139"/>
    </row>
    <row r="89" spans="1:1" x14ac:dyDescent="0.3">
      <c r="A89" s="139"/>
    </row>
    <row r="90" spans="1:1" x14ac:dyDescent="0.3">
      <c r="A90" s="139"/>
    </row>
  </sheetData>
  <mergeCells count="23">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 ref="A69:G69"/>
    <mergeCell ref="A70:G70"/>
    <mergeCell ref="A71:G71"/>
    <mergeCell ref="A72:G72"/>
    <mergeCell ref="A2:O2"/>
    <mergeCell ref="A3:O3"/>
    <mergeCell ref="A4:C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9D510642-48F3-485B-9526-E8A2FF8C7502}"/>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CCE1949D-6844-4B04-BE26-8D180697A255}"/>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CAC2FDC1-6231-4B2F-90CE-4D34F6C9181C}"/>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D935A775-0AD0-421C-97DE-A739BA9C5C16}"/>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3290613E-5CF0-4286-B347-CC00AD7FEF05}"/>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6C3281DA-65A5-485B-9410-844FE6E272AC}"/>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3A2BFB55-917F-4035-942D-64BADDF9243D}"/>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2023-02-24T19:09:37Z</dcterms:modified>
  <cp:category/>
  <cp:contentStatus/>
</cp:coreProperties>
</file>