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B7528E62-DC57-44D5-BBA0-3D8BF20429EB}" xr6:coauthVersionLast="47" xr6:coauthVersionMax="47" xr10:uidLastSave="{00000000-0000-0000-0000-000000000000}"/>
  <bookViews>
    <workbookView xWindow="-120" yWindow="-120" windowWidth="29040" windowHeight="15720" firstSheet="5"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February - MPI" sheetId="80" r:id="rId9"/>
    <sheet name="historical overrides" sheetId="50" r:id="rId10"/>
    <sheet name="deflators_override"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48" i="70" l="1"/>
  <c r="AE49" i="70"/>
  <c r="AB48" i="70"/>
  <c r="AB49" i="70"/>
  <c r="Z45" i="70"/>
  <c r="AA45" i="70"/>
  <c r="AB45" i="70"/>
  <c r="AC45" i="70"/>
  <c r="AD45" i="70"/>
  <c r="AE45" i="70"/>
  <c r="AF45" i="70"/>
  <c r="Y45" i="70"/>
  <c r="Z46" i="70"/>
  <c r="AA46" i="70"/>
  <c r="AB46" i="70"/>
  <c r="AC46" i="70"/>
  <c r="AD46" i="70"/>
  <c r="AE46" i="70"/>
  <c r="AF46" i="70"/>
  <c r="Y46" i="70"/>
  <c r="E46" i="70"/>
  <c r="F46" i="70"/>
  <c r="G46" i="70"/>
  <c r="H46" i="70"/>
  <c r="I46" i="70"/>
  <c r="J46" i="70"/>
  <c r="K46" i="70"/>
  <c r="L46" i="70"/>
  <c r="M46" i="70"/>
  <c r="N46" i="70"/>
  <c r="O46" i="70"/>
  <c r="P46" i="70"/>
  <c r="Q46" i="70"/>
  <c r="R46" i="70"/>
  <c r="S46" i="70"/>
  <c r="T46" i="70"/>
  <c r="U46" i="70"/>
  <c r="V46" i="70"/>
  <c r="W46" i="70"/>
  <c r="X46" i="70"/>
  <c r="D46" i="70"/>
  <c r="O92" i="80"/>
  <c r="O93" i="80" s="1"/>
  <c r="R93" i="80"/>
  <c r="R92" i="80"/>
  <c r="U92" i="80"/>
  <c r="W89" i="80"/>
  <c r="U90" i="80"/>
  <c r="AB26" i="20"/>
  <c r="AA26" i="20"/>
  <c r="Y26" i="20"/>
  <c r="Y27" i="20" s="1"/>
  <c r="Y25" i="20"/>
  <c r="AO37" i="20"/>
  <c r="AO35" i="20"/>
  <c r="AN37" i="20"/>
  <c r="X11" i="26" l="1"/>
  <c r="X20" i="26"/>
  <c r="G20" i="49"/>
  <c r="F18" i="49"/>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Q11" i="21"/>
  <c r="P11" i="21"/>
  <c r="O11" i="21"/>
  <c r="N11" i="21"/>
  <c r="M11" i="21"/>
  <c r="L11" i="21"/>
  <c r="K11" i="21"/>
  <c r="J11" i="21"/>
  <c r="I11" i="21"/>
  <c r="H11" i="21"/>
  <c r="G11" i="21"/>
  <c r="F11" i="21"/>
  <c r="U10" i="21"/>
  <c r="M10" i="21"/>
  <c r="C7" i="21"/>
  <c r="P6" i="21"/>
  <c r="O3" i="21"/>
  <c r="D1" i="21"/>
  <c r="D11" i="21" s="1"/>
  <c r="C19" i="6"/>
  <c r="B19" i="6"/>
  <c r="T17" i="6"/>
  <c r="U16" i="6"/>
  <c r="T16" i="6"/>
  <c r="S16" i="6"/>
  <c r="V49" i="21" s="1"/>
  <c r="R16" i="6"/>
  <c r="U49" i="21" s="1"/>
  <c r="Q16" i="6"/>
  <c r="T49" i="21" s="1"/>
  <c r="P16" i="6"/>
  <c r="S49" i="21" s="1"/>
  <c r="O16" i="6"/>
  <c r="R49" i="21" s="1"/>
  <c r="N16" i="6"/>
  <c r="Q49" i="21" s="1"/>
  <c r="D9" i="6"/>
  <c r="C9" i="6"/>
  <c r="D6" i="21" s="1"/>
  <c r="U6" i="6"/>
  <c r="T6" i="6"/>
  <c r="U3" i="21" s="1"/>
  <c r="S6" i="6"/>
  <c r="R6" i="6"/>
  <c r="S3" i="21" s="1"/>
  <c r="Q6" i="6"/>
  <c r="P6" i="6"/>
  <c r="O6" i="6"/>
  <c r="N6" i="6"/>
  <c r="M6" i="6"/>
  <c r="L6" i="6"/>
  <c r="M3" i="21" s="1"/>
  <c r="K6" i="6"/>
  <c r="L3" i="21" s="1"/>
  <c r="J6" i="6"/>
  <c r="K3" i="21" s="1"/>
  <c r="I6" i="6"/>
  <c r="H6" i="6"/>
  <c r="G6" i="6"/>
  <c r="H3" i="21" s="1"/>
  <c r="F6" i="6"/>
  <c r="G3" i="21" s="1"/>
  <c r="E6" i="6"/>
  <c r="F3" i="21" s="1"/>
  <c r="D6" i="6"/>
  <c r="C6" i="6"/>
  <c r="B6" i="6"/>
  <c r="C3" i="21" s="1"/>
  <c r="BJ16" i="5"/>
  <c r="BI16" i="5"/>
  <c r="BH16" i="5"/>
  <c r="BG16" i="5"/>
  <c r="BF16" i="5"/>
  <c r="BE16" i="5"/>
  <c r="BD16" i="5"/>
  <c r="BC16" i="5"/>
  <c r="G16" i="5" s="1"/>
  <c r="BB16" i="5"/>
  <c r="AZ16" i="5"/>
  <c r="AY16" i="5"/>
  <c r="AX16" i="5"/>
  <c r="AW16" i="5"/>
  <c r="AV16" i="5"/>
  <c r="M16" i="5" s="1"/>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D15" i="5"/>
  <c r="C15" i="5"/>
  <c r="F15" i="5" s="1"/>
  <c r="B15" i="5"/>
  <c r="E15" i="5" s="1"/>
  <c r="N14" i="5"/>
  <c r="M14" i="5"/>
  <c r="K14" i="5"/>
  <c r="J14" i="5"/>
  <c r="I14" i="5"/>
  <c r="H14" i="5"/>
  <c r="G14" i="5"/>
  <c r="F14" i="5"/>
  <c r="D14" i="5"/>
  <c r="C14" i="5"/>
  <c r="B14" i="5"/>
  <c r="E14" i="5" s="1"/>
  <c r="N13" i="5"/>
  <c r="M13" i="5"/>
  <c r="K13" i="5"/>
  <c r="J13" i="5"/>
  <c r="I13" i="5"/>
  <c r="H13" i="5"/>
  <c r="G13" i="5"/>
  <c r="D13" i="5"/>
  <c r="C13" i="5"/>
  <c r="F13" i="5" s="1"/>
  <c r="B13" i="5"/>
  <c r="E13" i="5" s="1"/>
  <c r="N12" i="5"/>
  <c r="M12" i="5"/>
  <c r="K12" i="5"/>
  <c r="J12" i="5"/>
  <c r="I12" i="5"/>
  <c r="H12" i="5"/>
  <c r="G12" i="5"/>
  <c r="F12" i="5"/>
  <c r="D12" i="5"/>
  <c r="C12" i="5"/>
  <c r="B12" i="5"/>
  <c r="E12" i="5" s="1"/>
  <c r="N11" i="5"/>
  <c r="M11" i="5"/>
  <c r="K11" i="5"/>
  <c r="J11" i="5"/>
  <c r="I11" i="5"/>
  <c r="H11" i="5"/>
  <c r="G11" i="5"/>
  <c r="D11" i="5"/>
  <c r="C11" i="5"/>
  <c r="B11" i="5"/>
  <c r="E11" i="5" s="1"/>
  <c r="N10" i="5"/>
  <c r="M10" i="5"/>
  <c r="V12" i="21" s="1"/>
  <c r="K10" i="5"/>
  <c r="V10" i="21" s="1"/>
  <c r="J10" i="5"/>
  <c r="V9" i="21" s="1"/>
  <c r="I10" i="5"/>
  <c r="H10" i="5"/>
  <c r="V7" i="21" s="1"/>
  <c r="G10" i="5"/>
  <c r="V6" i="21" s="1"/>
  <c r="F10" i="5"/>
  <c r="V5" i="21" s="1"/>
  <c r="D10" i="5"/>
  <c r="C10" i="5"/>
  <c r="B10" i="5"/>
  <c r="E10" i="5" s="1"/>
  <c r="V4" i="21" s="1"/>
  <c r="N9" i="5"/>
  <c r="M9" i="5"/>
  <c r="K9" i="5"/>
  <c r="J9" i="5"/>
  <c r="I9" i="5"/>
  <c r="H9" i="5"/>
  <c r="G9" i="5"/>
  <c r="T6" i="21" s="1"/>
  <c r="D9" i="5"/>
  <c r="C9" i="5"/>
  <c r="F9" i="5" s="1"/>
  <c r="B9" i="5"/>
  <c r="E9" i="5" s="1"/>
  <c r="N8" i="5"/>
  <c r="M8" i="5"/>
  <c r="K8" i="5"/>
  <c r="Q10" i="21" s="1"/>
  <c r="J8" i="5"/>
  <c r="N9" i="21" s="1"/>
  <c r="I8" i="5"/>
  <c r="H8" i="5"/>
  <c r="G8" i="5"/>
  <c r="F8" i="5"/>
  <c r="D8" i="5"/>
  <c r="C8" i="5"/>
  <c r="B8" i="5"/>
  <c r="N7" i="5"/>
  <c r="M7" i="5"/>
  <c r="K7" i="5"/>
  <c r="J7" i="5"/>
  <c r="J9" i="21" s="1"/>
  <c r="I7" i="5"/>
  <c r="H7" i="5"/>
  <c r="K7" i="21" s="1"/>
  <c r="G7" i="5"/>
  <c r="D7" i="5"/>
  <c r="C7" i="5"/>
  <c r="B7" i="5"/>
  <c r="N6" i="5"/>
  <c r="M6" i="5"/>
  <c r="K6" i="5"/>
  <c r="J6" i="5"/>
  <c r="F9" i="21" s="1"/>
  <c r="I6" i="5"/>
  <c r="H6" i="5"/>
  <c r="G6" i="5"/>
  <c r="F6" i="5"/>
  <c r="D6" i="5"/>
  <c r="C6" i="5"/>
  <c r="B6" i="5"/>
  <c r="E6" i="5" s="1"/>
  <c r="N5" i="5"/>
  <c r="M5" i="5"/>
  <c r="C12" i="21" s="1"/>
  <c r="L5" i="5"/>
  <c r="C11" i="21" s="1"/>
  <c r="K5" i="5"/>
  <c r="C10" i="21" s="1"/>
  <c r="J5" i="5"/>
  <c r="C9" i="21" s="1"/>
  <c r="I5" i="5"/>
  <c r="C8" i="21" s="1"/>
  <c r="H5" i="5"/>
  <c r="G5" i="5"/>
  <c r="E5" i="5"/>
  <c r="D5" i="5"/>
  <c r="C5" i="5"/>
  <c r="B5" i="5"/>
  <c r="F17" i="27"/>
  <c r="F16" i="27"/>
  <c r="F15" i="27"/>
  <c r="F14" i="27"/>
  <c r="F13" i="27"/>
  <c r="F12" i="27"/>
  <c r="F11" i="27"/>
  <c r="F9" i="27"/>
  <c r="F8" i="27"/>
  <c r="F7" i="27"/>
  <c r="F6" i="27"/>
  <c r="F5" i="27"/>
  <c r="B3" i="27"/>
  <c r="D194" i="65"/>
  <c r="E194" i="65" s="1"/>
  <c r="R192" i="65"/>
  <c r="S192" i="65" s="1"/>
  <c r="D192" i="65"/>
  <c r="E192" i="65" s="1"/>
  <c r="L190" i="65"/>
  <c r="M190" i="65" s="1"/>
  <c r="J190" i="65"/>
  <c r="K190" i="65" s="1"/>
  <c r="D190" i="65"/>
  <c r="E190" i="65" s="1"/>
  <c r="R188" i="65"/>
  <c r="S188" i="65" s="1"/>
  <c r="N188" i="65"/>
  <c r="O188" i="65" s="1"/>
  <c r="P188" i="65" s="1"/>
  <c r="Q188" i="65" s="1"/>
  <c r="J188" i="65"/>
  <c r="K188" i="65" s="1"/>
  <c r="L188" i="65" s="1"/>
  <c r="M188" i="65" s="1"/>
  <c r="F188" i="65"/>
  <c r="G188" i="65" s="1"/>
  <c r="H188" i="65" s="1"/>
  <c r="I188" i="65" s="1"/>
  <c r="D188" i="65"/>
  <c r="E188" i="65" s="1"/>
  <c r="D187" i="65"/>
  <c r="E187" i="65" s="1"/>
  <c r="D185" i="65"/>
  <c r="E185" i="65" s="1"/>
  <c r="R184" i="65"/>
  <c r="S184" i="65" s="1"/>
  <c r="L184" i="65"/>
  <c r="M184" i="65" s="1"/>
  <c r="J184" i="65"/>
  <c r="K184" i="65" s="1"/>
  <c r="D184" i="65"/>
  <c r="E184" i="65" s="1"/>
  <c r="H179" i="65"/>
  <c r="R194" i="65" s="1"/>
  <c r="S194" i="65" s="1"/>
  <c r="L178" i="65"/>
  <c r="J178" i="65"/>
  <c r="D178" i="65"/>
  <c r="D193" i="65" s="1"/>
  <c r="E193" i="65" s="1"/>
  <c r="N177" i="65"/>
  <c r="H177" i="65"/>
  <c r="F177" i="65"/>
  <c r="J192" i="65" s="1"/>
  <c r="K192" i="65" s="1"/>
  <c r="L192" i="65" s="1"/>
  <c r="M192" i="65" s="1"/>
  <c r="L176" i="65"/>
  <c r="J176" i="65"/>
  <c r="D176" i="65"/>
  <c r="D191" i="65" s="1"/>
  <c r="E191" i="65" s="1"/>
  <c r="N175" i="65"/>
  <c r="H175" i="65"/>
  <c r="R190" i="65" s="1"/>
  <c r="S190" i="65" s="1"/>
  <c r="F175" i="65"/>
  <c r="L174" i="65"/>
  <c r="J174" i="65"/>
  <c r="D174" i="65"/>
  <c r="D189" i="65" s="1"/>
  <c r="E189" i="65" s="1"/>
  <c r="N172" i="65"/>
  <c r="H172" i="65"/>
  <c r="R187" i="65" s="1"/>
  <c r="S187" i="65" s="1"/>
  <c r="F172" i="65"/>
  <c r="J187" i="65" s="1"/>
  <c r="K187" i="65" s="1"/>
  <c r="L187" i="65" s="1"/>
  <c r="M187" i="65" s="1"/>
  <c r="L171" i="65"/>
  <c r="J171" i="65"/>
  <c r="D171" i="65"/>
  <c r="D186" i="65" s="1"/>
  <c r="E186" i="65" s="1"/>
  <c r="N170" i="65"/>
  <c r="H170" i="65"/>
  <c r="R185" i="65" s="1"/>
  <c r="S185" i="65" s="1"/>
  <c r="F170" i="65"/>
  <c r="J185" i="65" s="1"/>
  <c r="K185" i="65" s="1"/>
  <c r="L185" i="65" s="1"/>
  <c r="M185" i="65" s="1"/>
  <c r="O169" i="65"/>
  <c r="N169" i="65"/>
  <c r="M169" i="65"/>
  <c r="L169" i="65"/>
  <c r="K169" i="65"/>
  <c r="J169" i="65"/>
  <c r="I169" i="65"/>
  <c r="H169" i="65"/>
  <c r="G169" i="65"/>
  <c r="N184" i="65" s="1"/>
  <c r="O184" i="65" s="1"/>
  <c r="P184" i="65" s="1"/>
  <c r="Q184" i="65" s="1"/>
  <c r="F169" i="65"/>
  <c r="E169" i="65"/>
  <c r="F184" i="65" s="1"/>
  <c r="G184" i="65" s="1"/>
  <c r="H184" i="65" s="1"/>
  <c r="I184" i="65" s="1"/>
  <c r="D169" i="65"/>
  <c r="O85" i="65"/>
  <c r="O178" i="65" s="1"/>
  <c r="N85" i="65"/>
  <c r="N178" i="65" s="1"/>
  <c r="M85" i="65"/>
  <c r="M178" i="65" s="1"/>
  <c r="L85" i="65"/>
  <c r="K85" i="65"/>
  <c r="K178" i="65" s="1"/>
  <c r="J85" i="65"/>
  <c r="I85" i="65"/>
  <c r="I178" i="65" s="1"/>
  <c r="H85" i="65"/>
  <c r="H178" i="65" s="1"/>
  <c r="R193" i="65" s="1"/>
  <c r="S193" i="65" s="1"/>
  <c r="G85" i="65"/>
  <c r="G178" i="65" s="1"/>
  <c r="N193" i="65" s="1"/>
  <c r="O193" i="65" s="1"/>
  <c r="P193" i="65" s="1"/>
  <c r="Q193" i="65" s="1"/>
  <c r="F85" i="65"/>
  <c r="F178" i="65" s="1"/>
  <c r="J193" i="65" s="1"/>
  <c r="K193" i="65" s="1"/>
  <c r="L193" i="65" s="1"/>
  <c r="M193" i="65" s="1"/>
  <c r="E85" i="65"/>
  <c r="E178" i="65" s="1"/>
  <c r="F193" i="65" s="1"/>
  <c r="G193" i="65" s="1"/>
  <c r="H193" i="65" s="1"/>
  <c r="I193" i="65" s="1"/>
  <c r="D85" i="65"/>
  <c r="O84" i="65"/>
  <c r="O177" i="65" s="1"/>
  <c r="N84" i="65"/>
  <c r="M84" i="65"/>
  <c r="M177" i="65" s="1"/>
  <c r="L84" i="65"/>
  <c r="L177" i="65" s="1"/>
  <c r="K84" i="65"/>
  <c r="K177" i="65" s="1"/>
  <c r="J84" i="65"/>
  <c r="J177" i="65" s="1"/>
  <c r="I84" i="65"/>
  <c r="I177" i="65" s="1"/>
  <c r="H84" i="65"/>
  <c r="G84" i="65"/>
  <c r="G177" i="65" s="1"/>
  <c r="N192" i="65" s="1"/>
  <c r="O192" i="65" s="1"/>
  <c r="P192" i="65" s="1"/>
  <c r="Q192" i="65" s="1"/>
  <c r="F84" i="65"/>
  <c r="E84" i="65"/>
  <c r="E177" i="65" s="1"/>
  <c r="F192" i="65" s="1"/>
  <c r="G192" i="65" s="1"/>
  <c r="H192" i="65" s="1"/>
  <c r="I192" i="65" s="1"/>
  <c r="D84" i="65"/>
  <c r="D177" i="65" s="1"/>
  <c r="O83" i="65"/>
  <c r="O179" i="65" s="1"/>
  <c r="N83" i="65"/>
  <c r="N179" i="65" s="1"/>
  <c r="M83" i="65"/>
  <c r="M179" i="65" s="1"/>
  <c r="L83" i="65"/>
  <c r="L179" i="65" s="1"/>
  <c r="K83" i="65"/>
  <c r="K179" i="65" s="1"/>
  <c r="J83" i="65"/>
  <c r="J179" i="65" s="1"/>
  <c r="I83" i="65"/>
  <c r="I179" i="65" s="1"/>
  <c r="H83" i="65"/>
  <c r="G83" i="65"/>
  <c r="G179" i="65" s="1"/>
  <c r="N194" i="65" s="1"/>
  <c r="O194" i="65" s="1"/>
  <c r="P194" i="65" s="1"/>
  <c r="Q194" i="65" s="1"/>
  <c r="F83" i="65"/>
  <c r="F179" i="65" s="1"/>
  <c r="J194" i="65" s="1"/>
  <c r="K194" i="65" s="1"/>
  <c r="L194" i="65" s="1"/>
  <c r="M194" i="65" s="1"/>
  <c r="E83" i="65"/>
  <c r="E179" i="65" s="1"/>
  <c r="F194" i="65" s="1"/>
  <c r="G194" i="65" s="1"/>
  <c r="H194" i="65" s="1"/>
  <c r="I194" i="65" s="1"/>
  <c r="D83" i="65"/>
  <c r="D179" i="65" s="1"/>
  <c r="O74" i="65"/>
  <c r="O172" i="65" s="1"/>
  <c r="N74" i="65"/>
  <c r="M74" i="65"/>
  <c r="M172" i="65" s="1"/>
  <c r="L74" i="65"/>
  <c r="L172" i="65" s="1"/>
  <c r="K74" i="65"/>
  <c r="K172" i="65" s="1"/>
  <c r="J74" i="65"/>
  <c r="J172" i="65" s="1"/>
  <c r="I74" i="65"/>
  <c r="I172" i="65" s="1"/>
  <c r="H74" i="65"/>
  <c r="G74" i="65"/>
  <c r="G172" i="65" s="1"/>
  <c r="N187" i="65" s="1"/>
  <c r="O187" i="65" s="1"/>
  <c r="P187" i="65" s="1"/>
  <c r="Q187" i="65" s="1"/>
  <c r="F74" i="65"/>
  <c r="E74" i="65"/>
  <c r="E172" i="65" s="1"/>
  <c r="F187" i="65" s="1"/>
  <c r="G187" i="65" s="1"/>
  <c r="H187" i="65" s="1"/>
  <c r="I187" i="65" s="1"/>
  <c r="D74" i="65"/>
  <c r="D172" i="65" s="1"/>
  <c r="O73" i="65"/>
  <c r="O176" i="65" s="1"/>
  <c r="N73" i="65"/>
  <c r="N176" i="65" s="1"/>
  <c r="M73" i="65"/>
  <c r="M176" i="65" s="1"/>
  <c r="L73" i="65"/>
  <c r="K73" i="65"/>
  <c r="K176" i="65" s="1"/>
  <c r="J73" i="65"/>
  <c r="I73" i="65"/>
  <c r="I176" i="65" s="1"/>
  <c r="H73" i="65"/>
  <c r="H176" i="65" s="1"/>
  <c r="R191" i="65" s="1"/>
  <c r="G73" i="65"/>
  <c r="G176" i="65" s="1"/>
  <c r="N191" i="65" s="1"/>
  <c r="O191" i="65" s="1"/>
  <c r="P191" i="65" s="1"/>
  <c r="Q191" i="65" s="1"/>
  <c r="F73" i="65"/>
  <c r="F176" i="65" s="1"/>
  <c r="J191" i="65" s="1"/>
  <c r="K191" i="65" s="1"/>
  <c r="L191" i="65" s="1"/>
  <c r="M191" i="65" s="1"/>
  <c r="E73" i="65"/>
  <c r="E176" i="65" s="1"/>
  <c r="F191" i="65" s="1"/>
  <c r="G191" i="65" s="1"/>
  <c r="H191" i="65" s="1"/>
  <c r="I191" i="65" s="1"/>
  <c r="D73" i="65"/>
  <c r="O72" i="65"/>
  <c r="O175" i="65" s="1"/>
  <c r="N72" i="65"/>
  <c r="M72" i="65"/>
  <c r="M175" i="65" s="1"/>
  <c r="L72" i="65"/>
  <c r="L175" i="65" s="1"/>
  <c r="K72" i="65"/>
  <c r="K175" i="65" s="1"/>
  <c r="J72" i="65"/>
  <c r="J175" i="65" s="1"/>
  <c r="I72" i="65"/>
  <c r="I175" i="65" s="1"/>
  <c r="H72" i="65"/>
  <c r="G72" i="65"/>
  <c r="G175" i="65" s="1"/>
  <c r="N190" i="65" s="1"/>
  <c r="O190" i="65" s="1"/>
  <c r="P190" i="65" s="1"/>
  <c r="Q190" i="65" s="1"/>
  <c r="F72" i="65"/>
  <c r="E72" i="65"/>
  <c r="E175" i="65" s="1"/>
  <c r="F190" i="65" s="1"/>
  <c r="G190" i="65" s="1"/>
  <c r="H190" i="65" s="1"/>
  <c r="I190" i="65" s="1"/>
  <c r="D72" i="65"/>
  <c r="D175" i="65" s="1"/>
  <c r="O71" i="65"/>
  <c r="O174" i="65" s="1"/>
  <c r="N71" i="65"/>
  <c r="N174" i="65" s="1"/>
  <c r="M71" i="65"/>
  <c r="M174" i="65" s="1"/>
  <c r="L71" i="65"/>
  <c r="K71" i="65"/>
  <c r="K174" i="65" s="1"/>
  <c r="J71" i="65"/>
  <c r="I71" i="65"/>
  <c r="I174" i="65" s="1"/>
  <c r="H71" i="65"/>
  <c r="H174" i="65" s="1"/>
  <c r="R189" i="65" s="1"/>
  <c r="S189" i="65" s="1"/>
  <c r="G71" i="65"/>
  <c r="G174" i="65" s="1"/>
  <c r="N189" i="65" s="1"/>
  <c r="O189" i="65" s="1"/>
  <c r="P189" i="65" s="1"/>
  <c r="Q189" i="65" s="1"/>
  <c r="F71" i="65"/>
  <c r="F174" i="65" s="1"/>
  <c r="J189" i="65" s="1"/>
  <c r="K189" i="65" s="1"/>
  <c r="L189" i="65" s="1"/>
  <c r="M189" i="65" s="1"/>
  <c r="E71" i="65"/>
  <c r="E174" i="65" s="1"/>
  <c r="F189" i="65" s="1"/>
  <c r="G189" i="65" s="1"/>
  <c r="H189" i="65" s="1"/>
  <c r="I189" i="65" s="1"/>
  <c r="D71" i="65"/>
  <c r="O70" i="65"/>
  <c r="O170" i="65" s="1"/>
  <c r="N70" i="65"/>
  <c r="M70" i="65"/>
  <c r="M170" i="65" s="1"/>
  <c r="L70" i="65"/>
  <c r="L170" i="65" s="1"/>
  <c r="K70" i="65"/>
  <c r="K170" i="65" s="1"/>
  <c r="J70" i="65"/>
  <c r="J170" i="65" s="1"/>
  <c r="I70" i="65"/>
  <c r="I170" i="65" s="1"/>
  <c r="H70" i="65"/>
  <c r="G70" i="65"/>
  <c r="G170" i="65" s="1"/>
  <c r="N185" i="65" s="1"/>
  <c r="O185" i="65" s="1"/>
  <c r="P185" i="65" s="1"/>
  <c r="Q185" i="65" s="1"/>
  <c r="F70" i="65"/>
  <c r="E70" i="65"/>
  <c r="E170" i="65" s="1"/>
  <c r="F185" i="65" s="1"/>
  <c r="G185" i="65" s="1"/>
  <c r="H185" i="65" s="1"/>
  <c r="I185" i="65" s="1"/>
  <c r="D70" i="65"/>
  <c r="D170" i="65" s="1"/>
  <c r="O69" i="65"/>
  <c r="O171" i="65" s="1"/>
  <c r="N69" i="65"/>
  <c r="N171" i="65" s="1"/>
  <c r="M69" i="65"/>
  <c r="M171" i="65" s="1"/>
  <c r="L69" i="65"/>
  <c r="K69" i="65"/>
  <c r="K171" i="65" s="1"/>
  <c r="J69" i="65"/>
  <c r="I69" i="65"/>
  <c r="I171" i="65" s="1"/>
  <c r="H69" i="65"/>
  <c r="H171" i="65" s="1"/>
  <c r="R186" i="65" s="1"/>
  <c r="S186" i="65" s="1"/>
  <c r="G69" i="65"/>
  <c r="G171" i="65" s="1"/>
  <c r="N186" i="65" s="1"/>
  <c r="O186" i="65" s="1"/>
  <c r="P186" i="65" s="1"/>
  <c r="Q186" i="65" s="1"/>
  <c r="F69" i="65"/>
  <c r="F171" i="65" s="1"/>
  <c r="J186" i="65" s="1"/>
  <c r="K186" i="65" s="1"/>
  <c r="L186" i="65" s="1"/>
  <c r="M186" i="65" s="1"/>
  <c r="E69" i="65"/>
  <c r="E171" i="65" s="1"/>
  <c r="F186" i="65" s="1"/>
  <c r="G186" i="65" s="1"/>
  <c r="H186" i="65" s="1"/>
  <c r="I186" i="65" s="1"/>
  <c r="D69" i="65"/>
  <c r="D75" i="76"/>
  <c r="D74" i="76"/>
  <c r="D73" i="76"/>
  <c r="D72" i="76"/>
  <c r="D71" i="76"/>
  <c r="D70" i="76"/>
  <c r="D61" i="76"/>
  <c r="D60" i="76"/>
  <c r="D59" i="76"/>
  <c r="D58" i="76"/>
  <c r="D57" i="76"/>
  <c r="D56" i="76"/>
  <c r="D55" i="76"/>
  <c r="D54" i="76"/>
  <c r="D53" i="76"/>
  <c r="D52" i="76"/>
  <c r="D51" i="76"/>
  <c r="D46" i="76"/>
  <c r="B46" i="76"/>
  <c r="B47" i="76" s="1"/>
  <c r="D47" i="76" s="1"/>
  <c r="D45" i="76"/>
  <c r="D44" i="76"/>
  <c r="D43" i="76"/>
  <c r="D42" i="76"/>
  <c r="D41" i="76"/>
  <c r="G40" i="76"/>
  <c r="G41" i="76" s="1"/>
  <c r="D40" i="76"/>
  <c r="H39" i="76"/>
  <c r="D39" i="76"/>
  <c r="H38" i="76"/>
  <c r="D38" i="76"/>
  <c r="H37" i="76"/>
  <c r="D37" i="76"/>
  <c r="G36" i="76"/>
  <c r="H36" i="76" s="1"/>
  <c r="D36" i="76"/>
  <c r="D35" i="76"/>
  <c r="G30" i="76" s="1"/>
  <c r="D34" i="76"/>
  <c r="M33" i="76"/>
  <c r="G33" i="76"/>
  <c r="H33" i="76" s="1"/>
  <c r="D33" i="76"/>
  <c r="M32" i="76"/>
  <c r="G32" i="76"/>
  <c r="H32" i="76" s="1"/>
  <c r="D32" i="76"/>
  <c r="G31" i="76"/>
  <c r="H31" i="76" s="1"/>
  <c r="D31" i="76"/>
  <c r="H30" i="76"/>
  <c r="D30" i="76"/>
  <c r="G28" i="76" s="1"/>
  <c r="G29" i="76"/>
  <c r="H29" i="76" s="1"/>
  <c r="D29" i="76"/>
  <c r="H28" i="76"/>
  <c r="I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G27" i="76"/>
  <c r="H27" i="76" s="1"/>
  <c r="D27" i="76"/>
  <c r="Q14" i="76"/>
  <c r="P14" i="76"/>
  <c r="B14" i="76"/>
  <c r="M11" i="29"/>
  <c r="L11" i="29"/>
  <c r="Q10" i="29"/>
  <c r="O10" i="29"/>
  <c r="T9" i="29"/>
  <c r="T10" i="29" s="1"/>
  <c r="S9" i="29"/>
  <c r="S10" i="29" s="1"/>
  <c r="R9" i="29"/>
  <c r="R10" i="29" s="1"/>
  <c r="Q9" i="29"/>
  <c r="P9" i="29"/>
  <c r="P10" i="29" s="1"/>
  <c r="O9" i="29"/>
  <c r="N9" i="29"/>
  <c r="N10" i="29" s="1"/>
  <c r="M9" i="29"/>
  <c r="M10" i="29" s="1"/>
  <c r="L9" i="29"/>
  <c r="K9" i="29"/>
  <c r="K11" i="29" s="1"/>
  <c r="J9" i="29"/>
  <c r="J11" i="29" s="1"/>
  <c r="T14" i="40"/>
  <c r="T17" i="40" s="1"/>
  <c r="L14" i="40"/>
  <c r="T13" i="40"/>
  <c r="S13" i="40"/>
  <c r="R13" i="40"/>
  <c r="Q13" i="40"/>
  <c r="P13" i="40"/>
  <c r="O13" i="40"/>
  <c r="N13" i="40"/>
  <c r="M13" i="40"/>
  <c r="L13" i="40"/>
  <c r="L17" i="40" s="1"/>
  <c r="K13" i="40"/>
  <c r="J13" i="40"/>
  <c r="T12" i="40"/>
  <c r="S12" i="40"/>
  <c r="R12" i="40"/>
  <c r="Q12" i="40"/>
  <c r="P12" i="40"/>
  <c r="O12" i="40"/>
  <c r="N12" i="40"/>
  <c r="M12" i="40"/>
  <c r="L12" i="40"/>
  <c r="K12" i="40"/>
  <c r="J12" i="40"/>
  <c r="T11" i="40"/>
  <c r="S11" i="40"/>
  <c r="R11" i="40"/>
  <c r="Q11" i="40"/>
  <c r="P11" i="40"/>
  <c r="O11" i="40"/>
  <c r="N11" i="40"/>
  <c r="M11" i="40"/>
  <c r="L11" i="40"/>
  <c r="K11" i="40"/>
  <c r="J11" i="40"/>
  <c r="L65" i="38"/>
  <c r="L70" i="38" s="1"/>
  <c r="J65" i="38"/>
  <c r="L64" i="38"/>
  <c r="L67" i="38" s="1"/>
  <c r="O55" i="38"/>
  <c r="K67" i="38" s="1"/>
  <c r="M55" i="38"/>
  <c r="O48" i="38" s="1"/>
  <c r="J55" i="38"/>
  <c r="J56" i="38" s="1"/>
  <c r="P54" i="38"/>
  <c r="P55" i="38" s="1"/>
  <c r="P56" i="38" s="1"/>
  <c r="O54" i="38"/>
  <c r="N54" i="38"/>
  <c r="N55" i="38" s="1"/>
  <c r="M54" i="38"/>
  <c r="L54" i="38"/>
  <c r="L55" i="38" s="1"/>
  <c r="K54" i="38"/>
  <c r="J54" i="38"/>
  <c r="P53" i="38"/>
  <c r="O53" i="38"/>
  <c r="K65" i="38" s="1"/>
  <c r="K70" i="38" s="1"/>
  <c r="N53" i="38"/>
  <c r="M53" i="38"/>
  <c r="M56" i="38" s="1"/>
  <c r="L53" i="38"/>
  <c r="K53" i="38"/>
  <c r="K55" i="38" s="1"/>
  <c r="M48" i="38" s="1"/>
  <c r="J53" i="38"/>
  <c r="J45" i="38"/>
  <c r="Q45" i="38" s="1"/>
  <c r="Q44" i="38"/>
  <c r="J44" i="38"/>
  <c r="Q43" i="38"/>
  <c r="J43" i="38"/>
  <c r="J42" i="38"/>
  <c r="Q42" i="38" s="1"/>
  <c r="J41" i="38"/>
  <c r="Q41" i="38" s="1"/>
  <c r="Q40" i="38"/>
  <c r="J40" i="38"/>
  <c r="T39" i="38"/>
  <c r="T40" i="38" s="1"/>
  <c r="Q39" i="38"/>
  <c r="J39" i="38"/>
  <c r="T38" i="38"/>
  <c r="P38" i="38" s="1"/>
  <c r="S38" i="38"/>
  <c r="S39" i="38" s="1"/>
  <c r="S40" i="38" s="1"/>
  <c r="S41" i="38" s="1"/>
  <c r="S42" i="38" s="1"/>
  <c r="S43" i="38" s="1"/>
  <c r="S44" i="38" s="1"/>
  <c r="S45" i="38" s="1"/>
  <c r="J38" i="38"/>
  <c r="Q38" i="38" s="1"/>
  <c r="Q37" i="38"/>
  <c r="P37" i="38"/>
  <c r="R37" i="38" s="1"/>
  <c r="J37" i="38"/>
  <c r="P36" i="38"/>
  <c r="J36" i="38"/>
  <c r="J35" i="38"/>
  <c r="P35" i="38" s="1"/>
  <c r="P34" i="38"/>
  <c r="J34" i="38"/>
  <c r="P33" i="38"/>
  <c r="J33" i="38"/>
  <c r="P32" i="38"/>
  <c r="J32" i="38"/>
  <c r="J31" i="38"/>
  <c r="P31" i="38" s="1"/>
  <c r="P30" i="38"/>
  <c r="J30" i="38"/>
  <c r="S29" i="38"/>
  <c r="S30" i="38" s="1"/>
  <c r="P29" i="38"/>
  <c r="O29" i="38"/>
  <c r="Q29" i="38" s="1"/>
  <c r="J29" i="38"/>
  <c r="T28" i="38"/>
  <c r="T29" i="38" s="1"/>
  <c r="T30" i="38" s="1"/>
  <c r="T31" i="38" s="1"/>
  <c r="T32" i="38" s="1"/>
  <c r="T33" i="38" s="1"/>
  <c r="T34" i="38" s="1"/>
  <c r="T35" i="38" s="1"/>
  <c r="T36" i="38" s="1"/>
  <c r="S28" i="38"/>
  <c r="P28" i="38"/>
  <c r="Q28" i="38" s="1"/>
  <c r="O28" i="38"/>
  <c r="J28" i="38"/>
  <c r="P27" i="38"/>
  <c r="O27" i="38"/>
  <c r="Q27" i="38" s="1"/>
  <c r="J27" i="38"/>
  <c r="J26" i="38"/>
  <c r="J25" i="38"/>
  <c r="N25" i="38" s="1"/>
  <c r="S24" i="38"/>
  <c r="S25" i="38" s="1"/>
  <c r="J24" i="38"/>
  <c r="S23" i="38"/>
  <c r="N23" i="38"/>
  <c r="M23" i="38"/>
  <c r="J23" i="38"/>
  <c r="O23" i="38" s="1"/>
  <c r="J22" i="38"/>
  <c r="J21" i="38"/>
  <c r="J20" i="38"/>
  <c r="M19" i="38"/>
  <c r="J19" i="38"/>
  <c r="M18" i="38"/>
  <c r="J18" i="38"/>
  <c r="M17" i="38"/>
  <c r="J17" i="38"/>
  <c r="J16" i="38"/>
  <c r="J15" i="38"/>
  <c r="M15" i="38" s="1"/>
  <c r="S14" i="38"/>
  <c r="S15" i="38" s="1"/>
  <c r="J14" i="38"/>
  <c r="M13" i="38"/>
  <c r="J13" i="38"/>
  <c r="L13" i="38" s="1"/>
  <c r="J12" i="38"/>
  <c r="M11" i="38"/>
  <c r="J11" i="38"/>
  <c r="L11" i="38" s="1"/>
  <c r="AF72" i="70"/>
  <c r="AE72" i="70"/>
  <c r="AD72" i="70"/>
  <c r="AC72" i="70"/>
  <c r="AB72" i="70"/>
  <c r="AA72" i="70"/>
  <c r="AA49" i="70" s="1"/>
  <c r="Z72" i="70"/>
  <c r="Y72" i="70"/>
  <c r="X72" i="70"/>
  <c r="W72" i="70"/>
  <c r="V72" i="70"/>
  <c r="U72" i="70"/>
  <c r="T72" i="70"/>
  <c r="S72" i="70"/>
  <c r="AF71" i="70"/>
  <c r="AE71" i="70"/>
  <c r="AE14" i="70" s="1"/>
  <c r="AE24" i="70" s="1"/>
  <c r="I3" i="71" s="1"/>
  <c r="AD71" i="70"/>
  <c r="AC71" i="70"/>
  <c r="AB71" i="70"/>
  <c r="AA71" i="70"/>
  <c r="Z71" i="70"/>
  <c r="Y71" i="70"/>
  <c r="Z48" i="70" s="1"/>
  <c r="X71" i="70"/>
  <c r="W71" i="70"/>
  <c r="V71" i="70"/>
  <c r="U71" i="70"/>
  <c r="T71" i="70"/>
  <c r="S71" i="70"/>
  <c r="AF70" i="70"/>
  <c r="AE70" i="70"/>
  <c r="AF12" i="70" s="1"/>
  <c r="AF23" i="70" s="1"/>
  <c r="J2" i="71" s="1"/>
  <c r="AD70" i="70"/>
  <c r="AC70" i="70"/>
  <c r="AB70" i="70"/>
  <c r="AA70" i="70"/>
  <c r="Z70" i="70"/>
  <c r="Y70" i="70"/>
  <c r="X70" i="70"/>
  <c r="W70" i="70"/>
  <c r="V70" i="70"/>
  <c r="U70" i="70"/>
  <c r="T70" i="70"/>
  <c r="S70" i="70"/>
  <c r="X51" i="70"/>
  <c r="X20" i="70" s="1"/>
  <c r="X27" i="70" s="1"/>
  <c r="W51" i="70"/>
  <c r="W20" i="70" s="1"/>
  <c r="W27" i="70" s="1"/>
  <c r="V51" i="70"/>
  <c r="V20" i="70" s="1"/>
  <c r="U51" i="70"/>
  <c r="T51" i="70"/>
  <c r="T20" i="70" s="1"/>
  <c r="T27" i="70" s="1"/>
  <c r="S51" i="70"/>
  <c r="S20" i="70" s="1"/>
  <c r="S27" i="70" s="1"/>
  <c r="R51" i="70"/>
  <c r="Q51" i="70"/>
  <c r="Q20" i="70" s="1"/>
  <c r="Q27" i="70" s="1"/>
  <c r="P51" i="70"/>
  <c r="O51" i="70"/>
  <c r="O20" i="70" s="1"/>
  <c r="O27" i="70" s="1"/>
  <c r="N51" i="70"/>
  <c r="N20" i="70" s="1"/>
  <c r="M51" i="70"/>
  <c r="M20" i="70" s="1"/>
  <c r="M27" i="70" s="1"/>
  <c r="L51" i="70"/>
  <c r="L20" i="70" s="1"/>
  <c r="L27" i="70" s="1"/>
  <c r="K51" i="70"/>
  <c r="K20" i="70" s="1"/>
  <c r="K27" i="70" s="1"/>
  <c r="J51" i="70"/>
  <c r="J20" i="70" s="1"/>
  <c r="J27" i="70" s="1"/>
  <c r="I51" i="70"/>
  <c r="I20" i="70" s="1"/>
  <c r="I27" i="70" s="1"/>
  <c r="H51" i="70"/>
  <c r="G51" i="70"/>
  <c r="F51" i="70"/>
  <c r="F20" i="70" s="1"/>
  <c r="F27" i="70" s="1"/>
  <c r="E51" i="70"/>
  <c r="D51" i="70"/>
  <c r="D20" i="70" s="1"/>
  <c r="D27" i="70" s="1"/>
  <c r="Y50" i="70"/>
  <c r="Y51" i="70" s="1"/>
  <c r="Y20" i="70" s="1"/>
  <c r="Y27" i="70" s="1"/>
  <c r="C6" i="71" s="1"/>
  <c r="X50" i="70"/>
  <c r="D31" i="55" s="1"/>
  <c r="D127" i="55" s="1"/>
  <c r="W50" i="70"/>
  <c r="W18" i="70" s="1"/>
  <c r="W26" i="70" s="1"/>
  <c r="V50" i="70"/>
  <c r="V18" i="70" s="1"/>
  <c r="U50" i="70"/>
  <c r="T50" i="70"/>
  <c r="S50" i="70"/>
  <c r="S18" i="70" s="1"/>
  <c r="S26" i="70" s="1"/>
  <c r="R50" i="70"/>
  <c r="Q50" i="70"/>
  <c r="P50" i="70"/>
  <c r="P18" i="70" s="1"/>
  <c r="P26" i="70" s="1"/>
  <c r="O50" i="70"/>
  <c r="O18" i="70" s="1"/>
  <c r="O26" i="70" s="1"/>
  <c r="N50" i="70"/>
  <c r="N18" i="70" s="1"/>
  <c r="M50" i="70"/>
  <c r="L50" i="70"/>
  <c r="L18" i="70" s="1"/>
  <c r="L26" i="70" s="1"/>
  <c r="K50" i="70"/>
  <c r="K18" i="70" s="1"/>
  <c r="K26" i="70" s="1"/>
  <c r="J50" i="70"/>
  <c r="I50" i="70"/>
  <c r="I18" i="70" s="1"/>
  <c r="I26" i="70" s="1"/>
  <c r="H50" i="70"/>
  <c r="G50" i="70"/>
  <c r="G18" i="70" s="1"/>
  <c r="G26" i="70" s="1"/>
  <c r="F50" i="70"/>
  <c r="F18" i="70" s="1"/>
  <c r="E50" i="70"/>
  <c r="E18" i="70" s="1"/>
  <c r="E26" i="70" s="1"/>
  <c r="D50" i="70"/>
  <c r="D18" i="70" s="1"/>
  <c r="D26" i="70" s="1"/>
  <c r="AF49" i="70"/>
  <c r="AC49" i="70"/>
  <c r="AC50" i="70" s="1"/>
  <c r="I31" i="55" s="1"/>
  <c r="AB50" i="70"/>
  <c r="AB51" i="70" s="1"/>
  <c r="AB20" i="70" s="1"/>
  <c r="AB27" i="70" s="1"/>
  <c r="F6" i="71" s="1"/>
  <c r="X49" i="70"/>
  <c r="X16" i="70" s="1"/>
  <c r="X25" i="70" s="1"/>
  <c r="W49" i="70"/>
  <c r="W16" i="70" s="1"/>
  <c r="W25" i="70" s="1"/>
  <c r="V49" i="70"/>
  <c r="U49" i="70"/>
  <c r="T49" i="70"/>
  <c r="T16" i="70" s="1"/>
  <c r="T25" i="70" s="1"/>
  <c r="S49" i="70"/>
  <c r="S16" i="70" s="1"/>
  <c r="S25" i="70" s="1"/>
  <c r="R49" i="70"/>
  <c r="R16" i="70" s="1"/>
  <c r="R25" i="70" s="1"/>
  <c r="Q49" i="70"/>
  <c r="Q16" i="70" s="1"/>
  <c r="Q25" i="70" s="1"/>
  <c r="P49" i="70"/>
  <c r="O49" i="70"/>
  <c r="O16" i="70" s="1"/>
  <c r="O25" i="70" s="1"/>
  <c r="N49" i="70"/>
  <c r="M49" i="70"/>
  <c r="L49" i="70"/>
  <c r="K49" i="70"/>
  <c r="J49" i="70"/>
  <c r="J16" i="70" s="1"/>
  <c r="J25" i="70" s="1"/>
  <c r="I49" i="70"/>
  <c r="I16" i="70" s="1"/>
  <c r="I25" i="70" s="1"/>
  <c r="H49" i="70"/>
  <c r="H16" i="70" s="1"/>
  <c r="H25" i="70" s="1"/>
  <c r="G49" i="70"/>
  <c r="G16" i="70" s="1"/>
  <c r="G25" i="70" s="1"/>
  <c r="F49" i="70"/>
  <c r="E49" i="70"/>
  <c r="D49" i="70"/>
  <c r="D16" i="70" s="1"/>
  <c r="D25" i="70" s="1"/>
  <c r="AD48" i="70"/>
  <c r="AC48" i="70"/>
  <c r="AC14" i="70" s="1"/>
  <c r="AC24" i="70" s="1"/>
  <c r="G3" i="71" s="1"/>
  <c r="AB14" i="70"/>
  <c r="AB24" i="70" s="1"/>
  <c r="F3" i="71" s="1"/>
  <c r="AA48" i="70"/>
  <c r="AA14" i="70" s="1"/>
  <c r="AA24" i="70" s="1"/>
  <c r="E3" i="71" s="1"/>
  <c r="X48" i="70"/>
  <c r="D29" i="55" s="1"/>
  <c r="D93" i="55" s="1"/>
  <c r="W48" i="70"/>
  <c r="W14" i="70" s="1"/>
  <c r="W24" i="70" s="1"/>
  <c r="V48" i="70"/>
  <c r="V14" i="70" s="1"/>
  <c r="V24" i="70" s="1"/>
  <c r="U48" i="70"/>
  <c r="U14" i="70" s="1"/>
  <c r="U24" i="70" s="1"/>
  <c r="T48" i="70"/>
  <c r="T14" i="70" s="1"/>
  <c r="T24" i="70" s="1"/>
  <c r="S48" i="70"/>
  <c r="R48" i="70"/>
  <c r="R14" i="70" s="1"/>
  <c r="R24" i="70" s="1"/>
  <c r="Q48" i="70"/>
  <c r="Q14" i="70" s="1"/>
  <c r="Q24" i="70" s="1"/>
  <c r="P48" i="70"/>
  <c r="P14" i="70" s="1"/>
  <c r="P24" i="70" s="1"/>
  <c r="O48" i="70"/>
  <c r="O14" i="70" s="1"/>
  <c r="O24" i="70" s="1"/>
  <c r="N48" i="70"/>
  <c r="M48" i="70"/>
  <c r="L48" i="70"/>
  <c r="L14" i="70" s="1"/>
  <c r="L24" i="70" s="1"/>
  <c r="K48" i="70"/>
  <c r="J48" i="70"/>
  <c r="J14" i="70" s="1"/>
  <c r="J24" i="70" s="1"/>
  <c r="I48" i="70"/>
  <c r="H48" i="70"/>
  <c r="H14" i="70" s="1"/>
  <c r="H24" i="70" s="1"/>
  <c r="G48" i="70"/>
  <c r="G14" i="70" s="1"/>
  <c r="G24" i="70" s="1"/>
  <c r="F48" i="70"/>
  <c r="F14" i="70" s="1"/>
  <c r="F24" i="70" s="1"/>
  <c r="E48" i="70"/>
  <c r="E14" i="70" s="1"/>
  <c r="E24" i="70" s="1"/>
  <c r="D48" i="70"/>
  <c r="D14" i="70" s="1"/>
  <c r="D24" i="70" s="1"/>
  <c r="AB12" i="70"/>
  <c r="AB23" i="70" s="1"/>
  <c r="G28" i="55"/>
  <c r="G124" i="55" s="1"/>
  <c r="F28" i="55"/>
  <c r="F124" i="55" s="1"/>
  <c r="X45" i="70"/>
  <c r="X12" i="70" s="1"/>
  <c r="X23" i="70" s="1"/>
  <c r="W45" i="70"/>
  <c r="W12" i="70" s="1"/>
  <c r="W23" i="70" s="1"/>
  <c r="V45" i="70"/>
  <c r="U45" i="70"/>
  <c r="T45" i="70"/>
  <c r="S45" i="70"/>
  <c r="S12" i="70" s="1"/>
  <c r="S23" i="70" s="1"/>
  <c r="R45" i="70"/>
  <c r="R12" i="70" s="1"/>
  <c r="R23" i="70" s="1"/>
  <c r="Q45" i="70"/>
  <c r="Q12" i="70" s="1"/>
  <c r="Q23" i="70" s="1"/>
  <c r="P45" i="70"/>
  <c r="O45" i="70"/>
  <c r="N45" i="70"/>
  <c r="N12" i="70" s="1"/>
  <c r="N23" i="70" s="1"/>
  <c r="M45" i="70"/>
  <c r="M12" i="70" s="1"/>
  <c r="M23" i="70" s="1"/>
  <c r="L45" i="70"/>
  <c r="L12" i="70" s="1"/>
  <c r="L23" i="70" s="1"/>
  <c r="K45" i="70"/>
  <c r="K12" i="70" s="1"/>
  <c r="K23" i="70" s="1"/>
  <c r="J45" i="70"/>
  <c r="J12" i="70" s="1"/>
  <c r="J23" i="70" s="1"/>
  <c r="I45" i="70"/>
  <c r="I12" i="70" s="1"/>
  <c r="I23" i="70" s="1"/>
  <c r="H45" i="70"/>
  <c r="G45" i="70"/>
  <c r="G12" i="70" s="1"/>
  <c r="G23" i="70" s="1"/>
  <c r="F45" i="70"/>
  <c r="E45" i="70"/>
  <c r="D45" i="70"/>
  <c r="D12" i="70" s="1"/>
  <c r="D23" i="70" s="1"/>
  <c r="V27" i="70"/>
  <c r="N27" i="70"/>
  <c r="V26" i="70"/>
  <c r="N26" i="70"/>
  <c r="F26" i="70"/>
  <c r="U20" i="70"/>
  <c r="U27" i="70" s="1"/>
  <c r="R20" i="70"/>
  <c r="R27" i="70" s="1"/>
  <c r="P20" i="70"/>
  <c r="P27" i="70" s="1"/>
  <c r="H20" i="70"/>
  <c r="H27" i="70" s="1"/>
  <c r="G20" i="70"/>
  <c r="G27" i="70" s="1"/>
  <c r="E20" i="70"/>
  <c r="E27" i="70" s="1"/>
  <c r="X18" i="70"/>
  <c r="X26" i="70" s="1"/>
  <c r="U18" i="70"/>
  <c r="U26" i="70" s="1"/>
  <c r="T18" i="70"/>
  <c r="T26" i="70" s="1"/>
  <c r="R18" i="70"/>
  <c r="R26" i="70" s="1"/>
  <c r="Q18" i="70"/>
  <c r="Q26" i="70" s="1"/>
  <c r="M18" i="70"/>
  <c r="M26" i="70" s="1"/>
  <c r="J18" i="70"/>
  <c r="J26" i="70" s="1"/>
  <c r="H18" i="70"/>
  <c r="H26" i="70" s="1"/>
  <c r="AC16" i="70"/>
  <c r="AC25" i="70" s="1"/>
  <c r="Y16" i="70"/>
  <c r="Y25" i="70" s="1"/>
  <c r="C4" i="71" s="1"/>
  <c r="V16" i="70"/>
  <c r="V25" i="70" s="1"/>
  <c r="U16" i="70"/>
  <c r="U25" i="70" s="1"/>
  <c r="P16" i="70"/>
  <c r="P25" i="70" s="1"/>
  <c r="N16" i="70"/>
  <c r="N25" i="70" s="1"/>
  <c r="M16" i="70"/>
  <c r="M25" i="70" s="1"/>
  <c r="L16" i="70"/>
  <c r="L25" i="70" s="1"/>
  <c r="K16" i="70"/>
  <c r="K25" i="70" s="1"/>
  <c r="F16" i="70"/>
  <c r="F25" i="70" s="1"/>
  <c r="E16" i="70"/>
  <c r="E25" i="70" s="1"/>
  <c r="AD14" i="70"/>
  <c r="AD24" i="70" s="1"/>
  <c r="H3" i="71" s="1"/>
  <c r="X14" i="70"/>
  <c r="X24" i="70" s="1"/>
  <c r="S14" i="70"/>
  <c r="S24" i="70" s="1"/>
  <c r="N14" i="70"/>
  <c r="N24" i="70" s="1"/>
  <c r="M14" i="70"/>
  <c r="M24" i="70" s="1"/>
  <c r="K14" i="70"/>
  <c r="K24" i="70" s="1"/>
  <c r="I14" i="70"/>
  <c r="I24" i="70" s="1"/>
  <c r="V12" i="70"/>
  <c r="V23" i="70" s="1"/>
  <c r="U12" i="70"/>
  <c r="U23" i="70" s="1"/>
  <c r="P12" i="70"/>
  <c r="P23" i="70" s="1"/>
  <c r="O12" i="70"/>
  <c r="O23" i="70" s="1"/>
  <c r="H12" i="70"/>
  <c r="H23" i="70" s="1"/>
  <c r="F12" i="70"/>
  <c r="F23" i="70" s="1"/>
  <c r="E12" i="70"/>
  <c r="E23" i="70" s="1"/>
  <c r="AC179" i="48"/>
  <c r="AB179" i="48"/>
  <c r="AA179" i="48"/>
  <c r="Z179" i="48"/>
  <c r="Y179" i="48"/>
  <c r="X179" i="48"/>
  <c r="W179" i="48"/>
  <c r="V179" i="48"/>
  <c r="U179" i="48"/>
  <c r="T179" i="48"/>
  <c r="S179" i="48"/>
  <c r="R179" i="48"/>
  <c r="Q179" i="48"/>
  <c r="P179" i="48"/>
  <c r="O179" i="48"/>
  <c r="N179" i="48"/>
  <c r="AC177" i="48"/>
  <c r="AB177" i="48"/>
  <c r="AA177" i="48"/>
  <c r="Z177" i="48"/>
  <c r="Y177" i="48"/>
  <c r="X177" i="48"/>
  <c r="W177" i="48"/>
  <c r="V177" i="48"/>
  <c r="U177" i="48"/>
  <c r="T177" i="48"/>
  <c r="S177" i="48"/>
  <c r="R177" i="48"/>
  <c r="Q177" i="48"/>
  <c r="P177" i="48"/>
  <c r="O177" i="48"/>
  <c r="N177"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AC173" i="48"/>
  <c r="AB173" i="48"/>
  <c r="AA173" i="48"/>
  <c r="Z173" i="48"/>
  <c r="Y173" i="48"/>
  <c r="X173" i="48"/>
  <c r="W173" i="48"/>
  <c r="V173" i="48"/>
  <c r="U173" i="48"/>
  <c r="T173" i="48"/>
  <c r="T161" i="48" s="1"/>
  <c r="U161" i="48" s="1"/>
  <c r="V161" i="48" s="1"/>
  <c r="S173" i="48"/>
  <c r="R173" i="48"/>
  <c r="Q173" i="48"/>
  <c r="P173" i="48"/>
  <c r="O173" i="48"/>
  <c r="N173" i="48"/>
  <c r="M173" i="48"/>
  <c r="L173" i="48"/>
  <c r="K173" i="48"/>
  <c r="J173" i="48"/>
  <c r="I173" i="48"/>
  <c r="H173" i="48"/>
  <c r="G173" i="48"/>
  <c r="U167" i="48"/>
  <c r="V167" i="48" s="1"/>
  <c r="W167" i="48" s="1"/>
  <c r="X167" i="48" s="1"/>
  <c r="Y167" i="48" s="1"/>
  <c r="Z167" i="48" s="1"/>
  <c r="AA167" i="48" s="1"/>
  <c r="AB167" i="48" s="1"/>
  <c r="AC167" i="48" s="1"/>
  <c r="T167" i="48"/>
  <c r="T165" i="48"/>
  <c r="U165" i="48" s="1"/>
  <c r="V165" i="48" s="1"/>
  <c r="W165" i="48" s="1"/>
  <c r="X165" i="48" s="1"/>
  <c r="Y165" i="48" s="1"/>
  <c r="Z165" i="48" s="1"/>
  <c r="AA165" i="48" s="1"/>
  <c r="AB165" i="48" s="1"/>
  <c r="AC165" i="48" s="1"/>
  <c r="T163" i="48"/>
  <c r="S159" i="48"/>
  <c r="R159" i="48"/>
  <c r="Q159" i="48"/>
  <c r="P159" i="48"/>
  <c r="O159" i="48"/>
  <c r="N159" i="48"/>
  <c r="M159" i="48"/>
  <c r="L159" i="48"/>
  <c r="K159" i="48"/>
  <c r="J159" i="48"/>
  <c r="I159" i="48"/>
  <c r="H159" i="48"/>
  <c r="G159" i="48"/>
  <c r="F159" i="48"/>
  <c r="P153" i="48"/>
  <c r="K153" i="48"/>
  <c r="H153" i="48"/>
  <c r="R150" i="48"/>
  <c r="O150" i="48"/>
  <c r="S149" i="48"/>
  <c r="R149" i="48"/>
  <c r="Q149" i="48"/>
  <c r="K149" i="48"/>
  <c r="J149" i="48"/>
  <c r="I149" i="48"/>
  <c r="P148" i="48"/>
  <c r="O148" i="48"/>
  <c r="N148" i="48"/>
  <c r="H148" i="48"/>
  <c r="G148" i="48"/>
  <c r="S147" i="48"/>
  <c r="M147" i="48"/>
  <c r="L147" i="48"/>
  <c r="K147" i="48"/>
  <c r="H146" i="48"/>
  <c r="U140" i="48"/>
  <c r="S140" i="48"/>
  <c r="M140" i="48"/>
  <c r="K140" i="48"/>
  <c r="X139" i="48"/>
  <c r="Y139" i="48" s="1"/>
  <c r="Z139" i="48" s="1"/>
  <c r="AA139" i="48" s="1"/>
  <c r="AB139" i="48" s="1"/>
  <c r="AC139" i="48" s="1"/>
  <c r="AD139" i="48" s="1"/>
  <c r="AE139" i="48" s="1"/>
  <c r="AF139" i="48" s="1"/>
  <c r="AG139" i="48" s="1"/>
  <c r="Q139" i="48"/>
  <c r="P139" i="48"/>
  <c r="I139" i="48"/>
  <c r="H139" i="48"/>
  <c r="P137" i="48"/>
  <c r="O137" i="48"/>
  <c r="H137" i="48"/>
  <c r="X135" i="48"/>
  <c r="W135" i="48"/>
  <c r="V135" i="48"/>
  <c r="U135" i="48"/>
  <c r="T135" i="48"/>
  <c r="T140" i="48" s="1"/>
  <c r="S135" i="48"/>
  <c r="R135" i="48"/>
  <c r="R153" i="48" s="1"/>
  <c r="Q135" i="48"/>
  <c r="P135" i="48"/>
  <c r="O135" i="48"/>
  <c r="N135" i="48"/>
  <c r="N153" i="48" s="1"/>
  <c r="M135" i="48"/>
  <c r="L135" i="48"/>
  <c r="K135" i="48"/>
  <c r="J135" i="48"/>
  <c r="J153" i="48" s="1"/>
  <c r="I135" i="48"/>
  <c r="H135" i="48"/>
  <c r="G135" i="48"/>
  <c r="F135" i="48"/>
  <c r="X134" i="48"/>
  <c r="W134" i="48"/>
  <c r="V134" i="48"/>
  <c r="U134" i="48"/>
  <c r="T134" i="48"/>
  <c r="S134" i="48"/>
  <c r="S152" i="48" s="1"/>
  <c r="R134" i="48"/>
  <c r="Q134" i="48"/>
  <c r="Q152" i="48" s="1"/>
  <c r="P134" i="48"/>
  <c r="P152" i="48" s="1"/>
  <c r="O134" i="48"/>
  <c r="O152" i="48" s="1"/>
  <c r="N134" i="48"/>
  <c r="M134" i="48"/>
  <c r="M152" i="48" s="1"/>
  <c r="L134" i="48"/>
  <c r="K134" i="48"/>
  <c r="K152" i="48" s="1"/>
  <c r="J134" i="48"/>
  <c r="I134" i="48"/>
  <c r="I152" i="48" s="1"/>
  <c r="H134" i="48"/>
  <c r="H152" i="48" s="1"/>
  <c r="G134" i="48"/>
  <c r="G152" i="48" s="1"/>
  <c r="F134" i="48"/>
  <c r="X133" i="48"/>
  <c r="R133" i="48"/>
  <c r="R151" i="48" s="1"/>
  <c r="Q133" i="48"/>
  <c r="Q151" i="48" s="1"/>
  <c r="P133" i="48"/>
  <c r="J133" i="48"/>
  <c r="I133" i="48"/>
  <c r="H133" i="48"/>
  <c r="H151" i="48" s="1"/>
  <c r="X132" i="48"/>
  <c r="W132" i="48"/>
  <c r="V132" i="48"/>
  <c r="U132" i="48"/>
  <c r="T132" i="48"/>
  <c r="S132" i="48"/>
  <c r="S150" i="48" s="1"/>
  <c r="R132" i="48"/>
  <c r="Q132" i="48"/>
  <c r="Q150" i="48" s="1"/>
  <c r="P132" i="48"/>
  <c r="O132" i="48"/>
  <c r="N132" i="48"/>
  <c r="M132" i="48"/>
  <c r="M150" i="48" s="1"/>
  <c r="L132" i="48"/>
  <c r="L150" i="48" s="1"/>
  <c r="K132" i="48"/>
  <c r="K150" i="48" s="1"/>
  <c r="J132" i="48"/>
  <c r="J150" i="48" s="1"/>
  <c r="I132" i="48"/>
  <c r="I150" i="48" s="1"/>
  <c r="H132" i="48"/>
  <c r="H150" i="48" s="1"/>
  <c r="G132" i="48"/>
  <c r="G150" i="48" s="1"/>
  <c r="F132" i="48"/>
  <c r="X131" i="48"/>
  <c r="X128" i="48" s="1"/>
  <c r="W131" i="48"/>
  <c r="V131" i="48"/>
  <c r="U131" i="48"/>
  <c r="T131" i="48"/>
  <c r="S131" i="48"/>
  <c r="R131" i="48"/>
  <c r="Q131" i="48"/>
  <c r="P131" i="48"/>
  <c r="P149" i="48" s="1"/>
  <c r="O131" i="48"/>
  <c r="O149" i="48" s="1"/>
  <c r="N131" i="48"/>
  <c r="N149" i="48" s="1"/>
  <c r="M131" i="48"/>
  <c r="M149" i="48" s="1"/>
  <c r="L131" i="48"/>
  <c r="L149" i="48" s="1"/>
  <c r="K131" i="48"/>
  <c r="J131" i="48"/>
  <c r="I131" i="48"/>
  <c r="H131" i="48"/>
  <c r="H149" i="48" s="1"/>
  <c r="G131" i="48"/>
  <c r="G149" i="48" s="1"/>
  <c r="F131" i="48"/>
  <c r="X130" i="48"/>
  <c r="W130" i="48"/>
  <c r="V130" i="48"/>
  <c r="U130" i="48"/>
  <c r="T130" i="48"/>
  <c r="S130" i="48"/>
  <c r="R130" i="48"/>
  <c r="R148" i="48" s="1"/>
  <c r="Q130" i="48"/>
  <c r="Q148" i="48" s="1"/>
  <c r="P130" i="48"/>
  <c r="O130" i="48"/>
  <c r="N130" i="48"/>
  <c r="M130" i="48"/>
  <c r="M148" i="48" s="1"/>
  <c r="L130" i="48"/>
  <c r="K130" i="48"/>
  <c r="J130" i="48"/>
  <c r="J148" i="48" s="1"/>
  <c r="I130" i="48"/>
  <c r="I148" i="48" s="1"/>
  <c r="H130" i="48"/>
  <c r="G130" i="48"/>
  <c r="F130" i="48"/>
  <c r="X129" i="48"/>
  <c r="W129" i="48"/>
  <c r="W133" i="48" s="1"/>
  <c r="V129" i="48"/>
  <c r="U129" i="48"/>
  <c r="T129" i="48"/>
  <c r="S129" i="48"/>
  <c r="S133" i="48" s="1"/>
  <c r="S151" i="48" s="1"/>
  <c r="R129" i="48"/>
  <c r="R147" i="48" s="1"/>
  <c r="Q129" i="48"/>
  <c r="Q147" i="48" s="1"/>
  <c r="P129" i="48"/>
  <c r="P147" i="48" s="1"/>
  <c r="O129" i="48"/>
  <c r="O133" i="48" s="1"/>
  <c r="N129" i="48"/>
  <c r="M129" i="48"/>
  <c r="L129" i="48"/>
  <c r="K129" i="48"/>
  <c r="K133" i="48" s="1"/>
  <c r="J129" i="48"/>
  <c r="J147" i="48" s="1"/>
  <c r="I129" i="48"/>
  <c r="I147" i="48" s="1"/>
  <c r="H129" i="48"/>
  <c r="H147" i="48" s="1"/>
  <c r="G129" i="48"/>
  <c r="G133" i="48" s="1"/>
  <c r="F129" i="48"/>
  <c r="W128" i="48"/>
  <c r="Q128" i="48"/>
  <c r="P128" i="48"/>
  <c r="P146" i="48" s="1"/>
  <c r="O128" i="48"/>
  <c r="I128" i="48"/>
  <c r="I146" i="48" s="1"/>
  <c r="H128" i="48"/>
  <c r="G128" i="48"/>
  <c r="U125" i="48"/>
  <c r="V124" i="48"/>
  <c r="O123" i="48"/>
  <c r="Q121" i="48"/>
  <c r="AG110" i="48"/>
  <c r="AF110" i="48"/>
  <c r="AE110" i="48"/>
  <c r="AD110" i="48"/>
  <c r="AC110" i="48"/>
  <c r="AC171" i="48" s="1"/>
  <c r="AB110" i="48"/>
  <c r="AA110" i="48"/>
  <c r="AA171" i="48" s="1"/>
  <c r="Z110" i="48"/>
  <c r="Y110" i="48"/>
  <c r="Y171" i="48" s="1"/>
  <c r="X110" i="48"/>
  <c r="X171" i="48" s="1"/>
  <c r="W110" i="48"/>
  <c r="W171" i="48" s="1"/>
  <c r="V110" i="48"/>
  <c r="U110" i="48"/>
  <c r="U171" i="48" s="1"/>
  <c r="T110" i="48"/>
  <c r="S110" i="48"/>
  <c r="S171" i="48" s="1"/>
  <c r="R110" i="48"/>
  <c r="Q110" i="48"/>
  <c r="Q171" i="48" s="1"/>
  <c r="P110" i="48"/>
  <c r="P171" i="48" s="1"/>
  <c r="O110" i="48"/>
  <c r="O171" i="48" s="1"/>
  <c r="N110" i="48"/>
  <c r="M110" i="48"/>
  <c r="L110" i="48"/>
  <c r="K110" i="48"/>
  <c r="K171" i="48" s="1"/>
  <c r="J110" i="48"/>
  <c r="I110" i="48"/>
  <c r="I171" i="48" s="1"/>
  <c r="H110" i="48"/>
  <c r="H171" i="48" s="1"/>
  <c r="G110" i="48"/>
  <c r="G171" i="48" s="1"/>
  <c r="F110" i="48"/>
  <c r="L105" i="48"/>
  <c r="J105" i="48"/>
  <c r="K105" i="48" s="1"/>
  <c r="L97" i="48"/>
  <c r="K97" i="48"/>
  <c r="J97" i="48"/>
  <c r="I97" i="48"/>
  <c r="H97" i="48"/>
  <c r="G97" i="48"/>
  <c r="F97" i="48"/>
  <c r="F105" i="48" s="1"/>
  <c r="E97" i="48"/>
  <c r="E105" i="48" s="1"/>
  <c r="L96" i="48"/>
  <c r="K96" i="48"/>
  <c r="J96" i="48"/>
  <c r="L95" i="48"/>
  <c r="K95" i="48"/>
  <c r="J95" i="48"/>
  <c r="I95" i="48"/>
  <c r="H95" i="48"/>
  <c r="G95" i="48"/>
  <c r="F95" i="48"/>
  <c r="F103" i="48" s="1"/>
  <c r="E95" i="48"/>
  <c r="E103" i="48" s="1"/>
  <c r="L94" i="48"/>
  <c r="K94" i="48"/>
  <c r="J94" i="48"/>
  <c r="I94" i="48"/>
  <c r="H94" i="48"/>
  <c r="G94" i="48"/>
  <c r="F94" i="48"/>
  <c r="E94" i="48"/>
  <c r="E102" i="48" s="1"/>
  <c r="F82" i="48"/>
  <c r="E82" i="48"/>
  <c r="F80" i="48"/>
  <c r="E80" i="48"/>
  <c r="F79" i="48"/>
  <c r="E79" i="48"/>
  <c r="L66" i="48"/>
  <c r="K66" i="48"/>
  <c r="J66" i="48"/>
  <c r="I66" i="48"/>
  <c r="I96" i="48" s="1"/>
  <c r="H66" i="48"/>
  <c r="H96" i="48" s="1"/>
  <c r="G66" i="48"/>
  <c r="G96" i="48" s="1"/>
  <c r="F66" i="48"/>
  <c r="E66" i="48"/>
  <c r="E81" i="48" s="1"/>
  <c r="AG56" i="48"/>
  <c r="AF56" i="48"/>
  <c r="AE56" i="48"/>
  <c r="AD56" i="48"/>
  <c r="AC56" i="48"/>
  <c r="AB56" i="48"/>
  <c r="AA56" i="48"/>
  <c r="Z56" i="48"/>
  <c r="Y56" i="48"/>
  <c r="W25" i="48"/>
  <c r="W140" i="48" s="1"/>
  <c r="X140" i="48" s="1"/>
  <c r="V25" i="48"/>
  <c r="V140" i="48" s="1"/>
  <c r="U25" i="48"/>
  <c r="T25" i="48"/>
  <c r="S25" i="48"/>
  <c r="R25" i="48"/>
  <c r="Q25" i="48"/>
  <c r="Q140" i="48" s="1"/>
  <c r="P25" i="48"/>
  <c r="P140" i="48" s="1"/>
  <c r="O25" i="48"/>
  <c r="O140" i="48" s="1"/>
  <c r="N25" i="48"/>
  <c r="N140" i="48" s="1"/>
  <c r="M25" i="48"/>
  <c r="L25" i="48"/>
  <c r="K25" i="48"/>
  <c r="J25" i="48"/>
  <c r="I25" i="48"/>
  <c r="I140" i="48" s="1"/>
  <c r="H25" i="48"/>
  <c r="H140" i="48" s="1"/>
  <c r="G25" i="48"/>
  <c r="G140" i="48" s="1"/>
  <c r="F25" i="48"/>
  <c r="F140" i="48" s="1"/>
  <c r="X24" i="48"/>
  <c r="W24" i="48"/>
  <c r="V24" i="48"/>
  <c r="U24" i="48"/>
  <c r="T24" i="48"/>
  <c r="T139" i="48" s="1"/>
  <c r="S24" i="48"/>
  <c r="S139" i="48" s="1"/>
  <c r="R24" i="48"/>
  <c r="R139" i="48" s="1"/>
  <c r="Q24" i="48"/>
  <c r="P24" i="48"/>
  <c r="O24" i="48"/>
  <c r="N24" i="48"/>
  <c r="M24" i="48"/>
  <c r="L24" i="48"/>
  <c r="L139" i="48" s="1"/>
  <c r="K24" i="48"/>
  <c r="K139" i="48" s="1"/>
  <c r="J24" i="48"/>
  <c r="J139" i="48" s="1"/>
  <c r="I24" i="48"/>
  <c r="H24" i="48"/>
  <c r="G24" i="48"/>
  <c r="F24" i="48"/>
  <c r="X23" i="48"/>
  <c r="X138" i="48" s="1"/>
  <c r="Y138" i="48" s="1"/>
  <c r="W23" i="48"/>
  <c r="W138" i="48" s="1"/>
  <c r="V23" i="48"/>
  <c r="U23" i="48"/>
  <c r="T23" i="48"/>
  <c r="S23" i="48"/>
  <c r="S138" i="48" s="1"/>
  <c r="R23" i="48"/>
  <c r="R138" i="48" s="1"/>
  <c r="Q23" i="48"/>
  <c r="Q138" i="48" s="1"/>
  <c r="P23" i="48"/>
  <c r="P138" i="48" s="1"/>
  <c r="O23" i="48"/>
  <c r="O138" i="48" s="1"/>
  <c r="N23" i="48"/>
  <c r="M23" i="48"/>
  <c r="L23" i="48"/>
  <c r="K23" i="48"/>
  <c r="J23" i="48"/>
  <c r="J138" i="48" s="1"/>
  <c r="I23" i="48"/>
  <c r="H23" i="48"/>
  <c r="G23" i="48"/>
  <c r="G138" i="48" s="1"/>
  <c r="F23" i="48"/>
  <c r="X21" i="48"/>
  <c r="X137" i="48" s="1"/>
  <c r="Y137" i="48" s="1"/>
  <c r="Z137" i="48" s="1"/>
  <c r="AA137" i="48" s="1"/>
  <c r="AB137" i="48" s="1"/>
  <c r="AC137" i="48" s="1"/>
  <c r="AD137" i="48" s="1"/>
  <c r="AE137" i="48" s="1"/>
  <c r="AF137" i="48" s="1"/>
  <c r="AG137" i="48" s="1"/>
  <c r="W21" i="48"/>
  <c r="W137" i="48" s="1"/>
  <c r="V21" i="48"/>
  <c r="U21" i="48"/>
  <c r="T21" i="48"/>
  <c r="S21" i="48"/>
  <c r="R21" i="48"/>
  <c r="Q21" i="48"/>
  <c r="P21" i="48"/>
  <c r="O21" i="48"/>
  <c r="N21" i="48"/>
  <c r="M21" i="48"/>
  <c r="L21" i="48"/>
  <c r="K21" i="48"/>
  <c r="J21" i="48"/>
  <c r="I21" i="48"/>
  <c r="H21" i="48"/>
  <c r="G21" i="48"/>
  <c r="G137" i="48" s="1"/>
  <c r="F21" i="48"/>
  <c r="X19" i="48"/>
  <c r="P19" i="48"/>
  <c r="H19" i="48"/>
  <c r="W16" i="48"/>
  <c r="W125" i="48" s="1"/>
  <c r="V16" i="48"/>
  <c r="V125" i="48" s="1"/>
  <c r="U16" i="48"/>
  <c r="T16" i="48"/>
  <c r="T125" i="48" s="1"/>
  <c r="S16" i="48"/>
  <c r="S125" i="48" s="1"/>
  <c r="R16" i="48"/>
  <c r="Q16" i="48"/>
  <c r="Q125" i="48" s="1"/>
  <c r="P16" i="48"/>
  <c r="P125" i="48" s="1"/>
  <c r="O16" i="48"/>
  <c r="O125" i="48" s="1"/>
  <c r="N16" i="48"/>
  <c r="N125" i="48" s="1"/>
  <c r="I105" i="48" s="1"/>
  <c r="M16" i="48"/>
  <c r="M125" i="48" s="1"/>
  <c r="H105" i="48" s="1"/>
  <c r="L16" i="48"/>
  <c r="K16" i="48"/>
  <c r="K125" i="48" s="1"/>
  <c r="J16" i="48"/>
  <c r="I16" i="48"/>
  <c r="I125" i="48" s="1"/>
  <c r="H16" i="48"/>
  <c r="G16" i="48"/>
  <c r="F16" i="48"/>
  <c r="X14" i="48"/>
  <c r="W14" i="48"/>
  <c r="W124" i="48" s="1"/>
  <c r="V14" i="48"/>
  <c r="U14" i="48"/>
  <c r="U124" i="48" s="1"/>
  <c r="T14" i="48"/>
  <c r="T124" i="48" s="1"/>
  <c r="S14" i="48"/>
  <c r="S124" i="48" s="1"/>
  <c r="R14" i="48"/>
  <c r="R124" i="48" s="1"/>
  <c r="Q14" i="48"/>
  <c r="Q124" i="48" s="1"/>
  <c r="P14" i="48"/>
  <c r="O14" i="48"/>
  <c r="O124" i="48" s="1"/>
  <c r="N14" i="48"/>
  <c r="N124" i="48" s="1"/>
  <c r="H104" i="48" s="1"/>
  <c r="M14" i="48"/>
  <c r="M124" i="48" s="1"/>
  <c r="L14" i="48"/>
  <c r="L124" i="48" s="1"/>
  <c r="K14" i="48"/>
  <c r="K124" i="48" s="1"/>
  <c r="J14" i="48"/>
  <c r="J124" i="48" s="1"/>
  <c r="I14" i="48"/>
  <c r="I124" i="48" s="1"/>
  <c r="H14" i="48"/>
  <c r="G14" i="48"/>
  <c r="F14" i="48"/>
  <c r="X12" i="48"/>
  <c r="X123" i="48" s="1"/>
  <c r="Y123" i="48" s="1"/>
  <c r="Z123" i="48" s="1"/>
  <c r="AA123" i="48" s="1"/>
  <c r="AB123" i="48" s="1"/>
  <c r="AC123" i="48" s="1"/>
  <c r="AD123" i="48" s="1"/>
  <c r="AE123" i="48" s="1"/>
  <c r="AF123" i="48" s="1"/>
  <c r="AG123" i="48" s="1"/>
  <c r="W12" i="48"/>
  <c r="W123" i="48" s="1"/>
  <c r="V12" i="48"/>
  <c r="U12" i="48"/>
  <c r="T12" i="48"/>
  <c r="S12" i="48"/>
  <c r="R12" i="48"/>
  <c r="R123" i="48" s="1"/>
  <c r="Q12" i="48"/>
  <c r="Q123" i="48" s="1"/>
  <c r="P12" i="48"/>
  <c r="P123" i="48" s="1"/>
  <c r="O12" i="48"/>
  <c r="N12" i="48"/>
  <c r="M12" i="48"/>
  <c r="L12" i="48"/>
  <c r="K12" i="48"/>
  <c r="J12" i="48"/>
  <c r="J123" i="48" s="1"/>
  <c r="I12" i="48"/>
  <c r="I9" i="48" s="1"/>
  <c r="H12" i="48"/>
  <c r="H123" i="48" s="1"/>
  <c r="G12" i="48"/>
  <c r="F12" i="48"/>
  <c r="X10" i="48"/>
  <c r="W10" i="48"/>
  <c r="V10" i="48"/>
  <c r="U10" i="48"/>
  <c r="T10" i="48"/>
  <c r="S10" i="48"/>
  <c r="R10" i="48"/>
  <c r="Q10" i="48"/>
  <c r="P10" i="48"/>
  <c r="O10" i="48"/>
  <c r="N10" i="48"/>
  <c r="M10" i="48"/>
  <c r="L10" i="48"/>
  <c r="K10" i="48"/>
  <c r="J10" i="48"/>
  <c r="I10" i="48"/>
  <c r="H10" i="48"/>
  <c r="G10" i="48"/>
  <c r="G9" i="48" s="1"/>
  <c r="F10" i="48"/>
  <c r="F9" i="48" s="1"/>
  <c r="T9" i="48"/>
  <c r="S9" i="48"/>
  <c r="R9" i="48"/>
  <c r="Q9" i="48"/>
  <c r="L9" i="48"/>
  <c r="J9" i="48"/>
  <c r="Z19" i="77"/>
  <c r="X19" i="77"/>
  <c r="X15" i="77"/>
  <c r="X16" i="77" s="1"/>
  <c r="AA7" i="77"/>
  <c r="AA19" i="77" s="1"/>
  <c r="Z7" i="77"/>
  <c r="X7" i="77"/>
  <c r="Q7" i="77"/>
  <c r="F130" i="75"/>
  <c r="V106" i="75"/>
  <c r="V105" i="75"/>
  <c r="U105" i="75"/>
  <c r="T105" i="75"/>
  <c r="S105" i="75"/>
  <c r="R105" i="75"/>
  <c r="Q105" i="75"/>
  <c r="P105" i="75"/>
  <c r="O105" i="75"/>
  <c r="N105" i="75"/>
  <c r="M105" i="75"/>
  <c r="L105" i="75"/>
  <c r="K105" i="75"/>
  <c r="J105" i="75"/>
  <c r="I105" i="75"/>
  <c r="H105" i="75"/>
  <c r="G105" i="75"/>
  <c r="F105" i="75"/>
  <c r="E105" i="75"/>
  <c r="D105" i="75"/>
  <c r="W104" i="75"/>
  <c r="W106" i="75" s="1"/>
  <c r="V104" i="75"/>
  <c r="U104" i="75"/>
  <c r="U106" i="75" s="1"/>
  <c r="AG99" i="75"/>
  <c r="AF99" i="75"/>
  <c r="AE99" i="75"/>
  <c r="AD99" i="75"/>
  <c r="V96" i="75"/>
  <c r="U96" i="75"/>
  <c r="T96" i="75"/>
  <c r="S96" i="75"/>
  <c r="R96" i="75"/>
  <c r="Q96" i="75"/>
  <c r="P96" i="75"/>
  <c r="O96" i="75"/>
  <c r="N96" i="75"/>
  <c r="M96" i="75"/>
  <c r="L96" i="75"/>
  <c r="K96" i="75"/>
  <c r="J96" i="75"/>
  <c r="I96" i="75"/>
  <c r="H96" i="75"/>
  <c r="G96" i="75"/>
  <c r="F96" i="75"/>
  <c r="E96" i="75"/>
  <c r="D96" i="75"/>
  <c r="V87" i="75"/>
  <c r="U87" i="75"/>
  <c r="P87" i="75"/>
  <c r="O87" i="75"/>
  <c r="N87" i="75"/>
  <c r="M87" i="75"/>
  <c r="V86" i="75"/>
  <c r="U86" i="75"/>
  <c r="U85" i="75" s="1"/>
  <c r="T86" i="75"/>
  <c r="S86" i="75"/>
  <c r="S87" i="75" s="1"/>
  <c r="R86" i="75"/>
  <c r="R87" i="75" s="1"/>
  <c r="Q86" i="75"/>
  <c r="Q87" i="75" s="1"/>
  <c r="P86" i="75"/>
  <c r="O86" i="75"/>
  <c r="N86" i="75"/>
  <c r="M86" i="75"/>
  <c r="M85" i="75" s="1"/>
  <c r="L86" i="75"/>
  <c r="K86" i="75"/>
  <c r="K87" i="75" s="1"/>
  <c r="J86" i="75"/>
  <c r="J87" i="75" s="1"/>
  <c r="I86" i="75"/>
  <c r="H86" i="75"/>
  <c r="G86" i="75"/>
  <c r="F86" i="75"/>
  <c r="E86" i="75"/>
  <c r="O85" i="75" s="1"/>
  <c r="D86" i="75"/>
  <c r="Q85" i="75"/>
  <c r="P85" i="75"/>
  <c r="I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G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U34" i="75"/>
  <c r="Q34" i="75"/>
  <c r="O34" i="75"/>
  <c r="M34" i="75"/>
  <c r="I34" i="75"/>
  <c r="H34" i="75"/>
  <c r="G34" i="75"/>
  <c r="F34" i="75"/>
  <c r="E34" i="75"/>
  <c r="D34" i="75"/>
  <c r="E28" i="75"/>
  <c r="V25" i="75"/>
  <c r="U25" i="75"/>
  <c r="T25" i="75"/>
  <c r="S25" i="75"/>
  <c r="R25" i="75"/>
  <c r="Q25" i="75"/>
  <c r="P25" i="75"/>
  <c r="O25" i="75"/>
  <c r="N25" i="75"/>
  <c r="M25" i="75"/>
  <c r="L25" i="75"/>
  <c r="K25" i="75"/>
  <c r="J25" i="75"/>
  <c r="I25" i="75"/>
  <c r="H25" i="75"/>
  <c r="G25" i="75"/>
  <c r="F25" i="75"/>
  <c r="E25" i="75"/>
  <c r="D25" i="75"/>
  <c r="U24" i="75"/>
  <c r="Q24" i="75"/>
  <c r="O24" i="75"/>
  <c r="M24" i="75"/>
  <c r="I24" i="75"/>
  <c r="H24" i="75"/>
  <c r="G24" i="75"/>
  <c r="G28" i="75" s="1"/>
  <c r="F24" i="75"/>
  <c r="F28" i="75" s="1"/>
  <c r="E24" i="75"/>
  <c r="D24" i="75"/>
  <c r="D28" i="75" s="1"/>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K38" i="75" s="1"/>
  <c r="J21" i="75"/>
  <c r="J38" i="75" s="1"/>
  <c r="I21" i="75"/>
  <c r="I38" i="75" s="1"/>
  <c r="H21" i="75"/>
  <c r="H38" i="75" s="1"/>
  <c r="G21" i="75"/>
  <c r="F21" i="75"/>
  <c r="F99" i="75" s="1"/>
  <c r="E21" i="75"/>
  <c r="E99" i="75" s="1"/>
  <c r="D21" i="75"/>
  <c r="D38" i="75" s="1"/>
  <c r="AC18" i="75"/>
  <c r="AB18" i="75"/>
  <c r="AA18" i="75"/>
  <c r="Z18" i="75"/>
  <c r="Y18" i="75"/>
  <c r="X18" i="75"/>
  <c r="W18" i="75"/>
  <c r="V18" i="75"/>
  <c r="U18" i="75"/>
  <c r="T18" i="75"/>
  <c r="S18" i="75"/>
  <c r="R18" i="75"/>
  <c r="Q18" i="75"/>
  <c r="P18" i="75"/>
  <c r="O18" i="75"/>
  <c r="N18" i="75"/>
  <c r="M18" i="75"/>
  <c r="L18" i="75"/>
  <c r="K18" i="75"/>
  <c r="J18" i="75"/>
  <c r="I18" i="75"/>
  <c r="I99" i="75" s="1"/>
  <c r="H18" i="75"/>
  <c r="H99" i="75" s="1"/>
  <c r="M17" i="75"/>
  <c r="V15"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G122" i="59"/>
  <c r="F122" i="59"/>
  <c r="W98" i="59"/>
  <c r="X97" i="59"/>
  <c r="W97" i="59"/>
  <c r="V97" i="59"/>
  <c r="W96" i="59" s="1"/>
  <c r="U97" i="59"/>
  <c r="T97" i="59"/>
  <c r="U96" i="59" s="1"/>
  <c r="U98" i="59" s="1"/>
  <c r="S97" i="59"/>
  <c r="R97" i="59"/>
  <c r="Q97" i="59"/>
  <c r="P97" i="59"/>
  <c r="O97" i="59"/>
  <c r="N97" i="59"/>
  <c r="M97" i="59"/>
  <c r="L97" i="59"/>
  <c r="K97" i="59"/>
  <c r="J97" i="59"/>
  <c r="I97" i="59"/>
  <c r="H97" i="59"/>
  <c r="G97" i="59"/>
  <c r="F97" i="59"/>
  <c r="E97" i="59"/>
  <c r="D97" i="59"/>
  <c r="Y96" i="59"/>
  <c r="Y98" i="59" s="1"/>
  <c r="Y97" i="59" s="1"/>
  <c r="X96" i="59"/>
  <c r="X98" i="59" s="1"/>
  <c r="V96" i="59"/>
  <c r="V98" i="59" s="1"/>
  <c r="X88" i="59"/>
  <c r="W88" i="59"/>
  <c r="V88" i="59"/>
  <c r="U88" i="59"/>
  <c r="T88" i="59"/>
  <c r="S88" i="59"/>
  <c r="R88" i="59"/>
  <c r="Q88" i="59"/>
  <c r="P88" i="59"/>
  <c r="O88" i="59"/>
  <c r="N88" i="59"/>
  <c r="M88" i="59"/>
  <c r="L88" i="59"/>
  <c r="K88" i="59"/>
  <c r="J88" i="59"/>
  <c r="I88" i="59"/>
  <c r="H88" i="59"/>
  <c r="G88" i="59"/>
  <c r="F88" i="59"/>
  <c r="E88" i="59"/>
  <c r="D88" i="59"/>
  <c r="X78" i="59"/>
  <c r="W78" i="59"/>
  <c r="W79" i="59" s="1"/>
  <c r="V78" i="59"/>
  <c r="U78" i="59"/>
  <c r="U79" i="59" s="1"/>
  <c r="T78" i="59"/>
  <c r="S78" i="59"/>
  <c r="R78" i="59"/>
  <c r="Q78" i="59"/>
  <c r="P78" i="59"/>
  <c r="O78" i="59"/>
  <c r="O79" i="59" s="1"/>
  <c r="N78" i="59"/>
  <c r="M78" i="59"/>
  <c r="M79" i="59" s="1"/>
  <c r="L78" i="59"/>
  <c r="K78" i="59"/>
  <c r="J78" i="59"/>
  <c r="I78" i="59"/>
  <c r="H78" i="59"/>
  <c r="N77" i="59" s="1"/>
  <c r="N26" i="59" s="1"/>
  <c r="G78" i="59"/>
  <c r="F78" i="59"/>
  <c r="E78" i="59"/>
  <c r="D78" i="59"/>
  <c r="V77" i="59"/>
  <c r="V26" i="59" s="1"/>
  <c r="P77" i="59"/>
  <c r="P26" i="59" s="1"/>
  <c r="X36" i="59"/>
  <c r="W36" i="59"/>
  <c r="V36" i="59"/>
  <c r="U36" i="59"/>
  <c r="T36" i="59"/>
  <c r="S36" i="59"/>
  <c r="R36" i="59"/>
  <c r="Q36" i="59"/>
  <c r="P36" i="59"/>
  <c r="O36" i="59"/>
  <c r="N36" i="59"/>
  <c r="M36" i="59"/>
  <c r="L36" i="59"/>
  <c r="K36" i="59"/>
  <c r="J36" i="59"/>
  <c r="I36" i="59"/>
  <c r="H36" i="59"/>
  <c r="G36" i="59"/>
  <c r="F36" i="59"/>
  <c r="E36" i="59"/>
  <c r="D36" i="59"/>
  <c r="AE32" i="59"/>
  <c r="AD32" i="59"/>
  <c r="AC32" i="59"/>
  <c r="AB32" i="59"/>
  <c r="AA32" i="59"/>
  <c r="Z32" i="59"/>
  <c r="Y32" i="59"/>
  <c r="X32" i="59"/>
  <c r="W32" i="59"/>
  <c r="V32" i="59"/>
  <c r="U32" i="59"/>
  <c r="T32" i="59"/>
  <c r="S32"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AF25" i="59"/>
  <c r="AF30" i="59" s="1"/>
  <c r="AF24" i="59"/>
  <c r="T21" i="59"/>
  <c r="S21" i="59"/>
  <c r="R21" i="59"/>
  <c r="Q21" i="59"/>
  <c r="P21" i="59"/>
  <c r="O21" i="59"/>
  <c r="N21" i="59"/>
  <c r="M21" i="59"/>
  <c r="L21" i="59"/>
  <c r="L30" i="59" s="1"/>
  <c r="E5" i="50" s="1"/>
  <c r="K21" i="59"/>
  <c r="K30" i="59" s="1"/>
  <c r="J21" i="59"/>
  <c r="J30" i="59" s="1"/>
  <c r="I21" i="59"/>
  <c r="I30" i="59" s="1"/>
  <c r="H21" i="59"/>
  <c r="H30" i="59" s="1"/>
  <c r="G21" i="59"/>
  <c r="G30" i="59" s="1"/>
  <c r="F21" i="59"/>
  <c r="F91" i="59" s="1"/>
  <c r="E21" i="59"/>
  <c r="E30" i="59" s="1"/>
  <c r="D21" i="59"/>
  <c r="AC18" i="59"/>
  <c r="AB18" i="59"/>
  <c r="AA18" i="59"/>
  <c r="Z18" i="59"/>
  <c r="Y18" i="59"/>
  <c r="X18" i="59"/>
  <c r="W18" i="59"/>
  <c r="V18" i="59"/>
  <c r="U18" i="59"/>
  <c r="T18" i="59"/>
  <c r="S18" i="59"/>
  <c r="R18" i="59"/>
  <c r="Q18" i="59"/>
  <c r="P18" i="59"/>
  <c r="O18" i="59"/>
  <c r="N18" i="59"/>
  <c r="M18" i="59"/>
  <c r="L18" i="59"/>
  <c r="K18" i="59"/>
  <c r="J18" i="59"/>
  <c r="I18" i="59"/>
  <c r="H18" i="59"/>
  <c r="H91" i="59" s="1"/>
  <c r="U17" i="59"/>
  <c r="T17" i="59"/>
  <c r="R17" i="59"/>
  <c r="M17" i="59"/>
  <c r="L17" i="59"/>
  <c r="J17" i="59"/>
  <c r="E17" i="59"/>
  <c r="D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H26" i="33"/>
  <c r="I24" i="33"/>
  <c r="J26" i="33" s="1"/>
  <c r="H24" i="33"/>
  <c r="I26" i="33" s="1"/>
  <c r="G24" i="33"/>
  <c r="G26" i="33" s="1"/>
  <c r="F24" i="33"/>
  <c r="E24" i="33"/>
  <c r="F26" i="33" s="1"/>
  <c r="J23" i="33"/>
  <c r="E22" i="33"/>
  <c r="V18" i="33"/>
  <c r="N18" i="33"/>
  <c r="AB13" i="33"/>
  <c r="T13" i="33"/>
  <c r="O13" i="33"/>
  <c r="N13" i="33"/>
  <c r="Y11" i="33"/>
  <c r="Z11" i="33" s="1"/>
  <c r="X11" i="33"/>
  <c r="W11" i="33"/>
  <c r="V11" i="33"/>
  <c r="U11" i="33"/>
  <c r="T11" i="33"/>
  <c r="S11" i="33"/>
  <c r="R11" i="33"/>
  <c r="Q11" i="33"/>
  <c r="P11" i="33"/>
  <c r="O11" i="33"/>
  <c r="N11" i="33"/>
  <c r="M11" i="33"/>
  <c r="L11" i="33"/>
  <c r="K11" i="33"/>
  <c r="J11" i="33"/>
  <c r="X10" i="33"/>
  <c r="W10" i="33"/>
  <c r="V10" i="33"/>
  <c r="V17" i="75" s="1"/>
  <c r="U10" i="33"/>
  <c r="U17" i="75" s="1"/>
  <c r="T10" i="33"/>
  <c r="S10" i="33"/>
  <c r="S17" i="75" s="1"/>
  <c r="R10" i="33"/>
  <c r="R17" i="75" s="1"/>
  <c r="Q10" i="33"/>
  <c r="P10" i="33"/>
  <c r="O10" i="33"/>
  <c r="N10" i="33"/>
  <c r="N17" i="75" s="1"/>
  <c r="M10" i="33"/>
  <c r="L10" i="33"/>
  <c r="K10" i="33"/>
  <c r="K17" i="75" s="1"/>
  <c r="J10" i="33"/>
  <c r="J17" i="75" s="1"/>
  <c r="I10" i="33"/>
  <c r="H10" i="33"/>
  <c r="H17" i="75" s="1"/>
  <c r="G10" i="33"/>
  <c r="F10" i="33"/>
  <c r="F17" i="75" s="1"/>
  <c r="E10" i="33"/>
  <c r="E17" i="75" s="1"/>
  <c r="D10" i="33"/>
  <c r="D17" i="75" s="1"/>
  <c r="L47" i="49"/>
  <c r="K47" i="49"/>
  <c r="J47" i="49"/>
  <c r="P46" i="49"/>
  <c r="O46" i="49"/>
  <c r="N46" i="49"/>
  <c r="M46" i="49"/>
  <c r="L46" i="49"/>
  <c r="K46" i="49"/>
  <c r="J46" i="49"/>
  <c r="I46" i="49"/>
  <c r="H46" i="49"/>
  <c r="G46" i="49"/>
  <c r="F46" i="49"/>
  <c r="F47" i="49" s="1"/>
  <c r="P45" i="49"/>
  <c r="O45" i="49"/>
  <c r="N45" i="49"/>
  <c r="M45" i="49"/>
  <c r="L45" i="49"/>
  <c r="K45" i="49"/>
  <c r="J45" i="49"/>
  <c r="I45" i="49"/>
  <c r="H45" i="49"/>
  <c r="G45" i="49"/>
  <c r="F45" i="49"/>
  <c r="S27" i="49"/>
  <c r="S45" i="75" s="1"/>
  <c r="Z12" i="49"/>
  <c r="AA12" i="49" s="1"/>
  <c r="M12" i="49"/>
  <c r="M29" i="49" s="1"/>
  <c r="E12" i="49"/>
  <c r="E29" i="49" s="1"/>
  <c r="X11" i="49"/>
  <c r="W11" i="49"/>
  <c r="V11" i="49"/>
  <c r="U11" i="49"/>
  <c r="U12" i="49" s="1"/>
  <c r="T11" i="49"/>
  <c r="S11" i="49"/>
  <c r="S12" i="49" s="1"/>
  <c r="R11" i="49"/>
  <c r="R12" i="49" s="1"/>
  <c r="Q11" i="49"/>
  <c r="Q12" i="49" s="1"/>
  <c r="P11" i="49"/>
  <c r="O11" i="49"/>
  <c r="N11" i="49"/>
  <c r="M11" i="49"/>
  <c r="L11" i="49"/>
  <c r="K11" i="49"/>
  <c r="K12" i="49" s="1"/>
  <c r="J11" i="49"/>
  <c r="J12" i="49" s="1"/>
  <c r="I11" i="49"/>
  <c r="I12" i="49" s="1"/>
  <c r="H11" i="49"/>
  <c r="G11" i="49"/>
  <c r="F11" i="49"/>
  <c r="E11" i="49"/>
  <c r="D11" i="49"/>
  <c r="X10" i="49"/>
  <c r="X27" i="49" s="1"/>
  <c r="W10" i="49"/>
  <c r="W27" i="49" s="1"/>
  <c r="V10" i="49"/>
  <c r="V27" i="49" s="1"/>
  <c r="U10" i="49"/>
  <c r="U27" i="49" s="1"/>
  <c r="T10" i="49"/>
  <c r="T27" i="49" s="1"/>
  <c r="S10" i="49"/>
  <c r="R10" i="49"/>
  <c r="R27" i="49" s="1"/>
  <c r="Q10" i="49"/>
  <c r="Q27" i="49" s="1"/>
  <c r="P10" i="49"/>
  <c r="P27" i="49" s="1"/>
  <c r="O10" i="49"/>
  <c r="N10" i="49"/>
  <c r="N27" i="49" s="1"/>
  <c r="M10" i="49"/>
  <c r="M27" i="49" s="1"/>
  <c r="L10" i="49"/>
  <c r="K10" i="49"/>
  <c r="K27" i="49" s="1"/>
  <c r="J10" i="49"/>
  <c r="J27" i="49" s="1"/>
  <c r="I10" i="49"/>
  <c r="I27" i="49" s="1"/>
  <c r="H10" i="49"/>
  <c r="H27" i="49" s="1"/>
  <c r="G10" i="49"/>
  <c r="F10" i="49"/>
  <c r="E10" i="49"/>
  <c r="E27" i="49" s="1"/>
  <c r="D10" i="49"/>
  <c r="AD81" i="30"/>
  <c r="AD79" i="30"/>
  <c r="AD72" i="30"/>
  <c r="AD71" i="30"/>
  <c r="AD70" i="30"/>
  <c r="AD69" i="30"/>
  <c r="AD68" i="30"/>
  <c r="AD67" i="30"/>
  <c r="AD66" i="30"/>
  <c r="AD65" i="30"/>
  <c r="AD62" i="30"/>
  <c r="AD60" i="30"/>
  <c r="G46" i="30"/>
  <c r="F46" i="30"/>
  <c r="AF45" i="30"/>
  <c r="AD45" i="30"/>
  <c r="Z45"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Y37" i="30"/>
  <c r="Y20" i="30" s="1"/>
  <c r="AC36" i="30"/>
  <c r="AB36" i="30"/>
  <c r="AA36" i="30"/>
  <c r="Z36" i="30"/>
  <c r="Y36" i="30"/>
  <c r="X36" i="30"/>
  <c r="O34" i="30"/>
  <c r="O25" i="30" s="1"/>
  <c r="N34" i="30"/>
  <c r="O33" i="30"/>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AD23" i="30"/>
  <c r="AE23" i="30" s="1"/>
  <c r="AF23" i="30" s="1"/>
  <c r="AG23" i="30" s="1"/>
  <c r="X23" i="30"/>
  <c r="Y23" i="30" s="1"/>
  <c r="Z23" i="30" s="1"/>
  <c r="AA23" i="30" s="1"/>
  <c r="AB23" i="30" s="1"/>
  <c r="AC23" i="30" s="1"/>
  <c r="W23" i="30"/>
  <c r="V23" i="30"/>
  <c r="U23" i="30"/>
  <c r="T23" i="30"/>
  <c r="S23" i="30"/>
  <c r="R23" i="30"/>
  <c r="Q23" i="30"/>
  <c r="P23" i="30"/>
  <c r="O23" i="30"/>
  <c r="N23" i="30"/>
  <c r="X22" i="30"/>
  <c r="W22" i="30"/>
  <c r="V22" i="30"/>
  <c r="U22" i="30"/>
  <c r="AD59" i="30" s="1"/>
  <c r="T22" i="30"/>
  <c r="S22" i="30"/>
  <c r="R22" i="30"/>
  <c r="Q22" i="30"/>
  <c r="P22" i="30"/>
  <c r="O22" i="30"/>
  <c r="N22" i="30"/>
  <c r="Y21" i="30"/>
  <c r="Z21" i="30" s="1"/>
  <c r="AA21" i="30" s="1"/>
  <c r="AB21" i="30" s="1"/>
  <c r="AC21" i="30" s="1"/>
  <c r="AD21" i="30" s="1"/>
  <c r="AE21" i="30" s="1"/>
  <c r="AF21" i="30" s="1"/>
  <c r="AG21" i="30" s="1"/>
  <c r="X21" i="30"/>
  <c r="W21" i="30"/>
  <c r="V21" i="30"/>
  <c r="U21" i="30"/>
  <c r="AD58" i="30" s="1"/>
  <c r="T21" i="30"/>
  <c r="S21" i="30"/>
  <c r="R21" i="30"/>
  <c r="Q21" i="30"/>
  <c r="P21" i="30"/>
  <c r="O21" i="30"/>
  <c r="N21" i="30"/>
  <c r="M21" i="30"/>
  <c r="L21" i="30"/>
  <c r="K21" i="30"/>
  <c r="J21" i="30"/>
  <c r="I21" i="30"/>
  <c r="H21" i="30"/>
  <c r="AG20" i="30"/>
  <c r="AF20" i="30"/>
  <c r="AE20" i="30"/>
  <c r="AD20" i="30"/>
  <c r="AB20" i="30"/>
  <c r="Z20" i="30"/>
  <c r="T20" i="30"/>
  <c r="S20" i="30"/>
  <c r="R20" i="30"/>
  <c r="Q20" i="30"/>
  <c r="P20" i="30"/>
  <c r="O20" i="30"/>
  <c r="N20" i="30"/>
  <c r="M20" i="30"/>
  <c r="L20" i="30"/>
  <c r="K20" i="30"/>
  <c r="K13" i="30" s="1"/>
  <c r="J20" i="30"/>
  <c r="I20" i="30"/>
  <c r="H20" i="30"/>
  <c r="X19" i="30"/>
  <c r="W19" i="30"/>
  <c r="V19" i="30"/>
  <c r="U19" i="30"/>
  <c r="AD56" i="30" s="1"/>
  <c r="T19" i="30"/>
  <c r="S19" i="30"/>
  <c r="R19" i="30"/>
  <c r="Q19" i="30"/>
  <c r="P19" i="30"/>
  <c r="O19" i="30"/>
  <c r="N19" i="30"/>
  <c r="M19" i="30"/>
  <c r="L19" i="30"/>
  <c r="K19" i="30"/>
  <c r="J19" i="30"/>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J13" i="30" s="1"/>
  <c r="I18" i="30"/>
  <c r="H18" i="30"/>
  <c r="X17" i="30"/>
  <c r="Y17" i="30" s="1"/>
  <c r="W17" i="30"/>
  <c r="V17" i="30"/>
  <c r="U17" i="30"/>
  <c r="AD54" i="30" s="1"/>
  <c r="T17" i="30"/>
  <c r="S17" i="30"/>
  <c r="R17" i="30"/>
  <c r="Q17" i="30"/>
  <c r="P17" i="30"/>
  <c r="O17" i="30"/>
  <c r="N17" i="30"/>
  <c r="N15" i="30" s="1"/>
  <c r="M17" i="30"/>
  <c r="L17" i="30"/>
  <c r="K17" i="30"/>
  <c r="J17" i="30"/>
  <c r="I17" i="30"/>
  <c r="H17" i="30"/>
  <c r="H13" i="30" s="1"/>
  <c r="H12" i="30" s="1"/>
  <c r="X16" i="30"/>
  <c r="W16" i="30"/>
  <c r="V16" i="30"/>
  <c r="U16" i="30"/>
  <c r="T16" i="30"/>
  <c r="S16" i="30"/>
  <c r="R16" i="30"/>
  <c r="Q16" i="30"/>
  <c r="P16" i="30"/>
  <c r="O16" i="30"/>
  <c r="N16" i="30"/>
  <c r="M16" i="30"/>
  <c r="M15" i="30" s="1"/>
  <c r="L16" i="30"/>
  <c r="K16" i="30"/>
  <c r="J16" i="30"/>
  <c r="I16" i="30"/>
  <c r="I13" i="30" s="1"/>
  <c r="H16" i="30"/>
  <c r="K15" i="30"/>
  <c r="I15" i="30"/>
  <c r="X14" i="30"/>
  <c r="W14" i="30"/>
  <c r="V14" i="30"/>
  <c r="U14" i="30"/>
  <c r="AD51" i="30" s="1"/>
  <c r="T14" i="30"/>
  <c r="S14" i="30"/>
  <c r="R14" i="30"/>
  <c r="Q14" i="30"/>
  <c r="P14" i="30"/>
  <c r="O14" i="30"/>
  <c r="N14" i="30"/>
  <c r="M14" i="30"/>
  <c r="L14" i="30"/>
  <c r="K14" i="30"/>
  <c r="J14" i="30"/>
  <c r="I14" i="30"/>
  <c r="H14" i="30"/>
  <c r="Z12" i="30"/>
  <c r="AA12" i="30" s="1"/>
  <c r="K12" i="30"/>
  <c r="G12" i="30"/>
  <c r="F12" i="30"/>
  <c r="X11" i="30"/>
  <c r="W11" i="30"/>
  <c r="V11" i="30"/>
  <c r="U11" i="30"/>
  <c r="AD48" i="30" s="1"/>
  <c r="T11" i="30"/>
  <c r="S11" i="30"/>
  <c r="R11" i="30"/>
  <c r="Q11" i="30"/>
  <c r="P11" i="30"/>
  <c r="O11" i="30"/>
  <c r="N11" i="30"/>
  <c r="N46" i="30" s="1"/>
  <c r="M11" i="30"/>
  <c r="L11" i="30"/>
  <c r="L46" i="30" s="1"/>
  <c r="K11" i="30"/>
  <c r="K46" i="30" s="1"/>
  <c r="J11" i="30"/>
  <c r="J46" i="30" s="1"/>
  <c r="I11" i="30"/>
  <c r="I46" i="30" s="1"/>
  <c r="H11" i="30"/>
  <c r="H46" i="30" s="1"/>
  <c r="I50" i="20"/>
  <c r="O48" i="20"/>
  <c r="M48" i="20"/>
  <c r="AH39" i="20"/>
  <c r="AH41" i="20" s="1"/>
  <c r="AE39" i="20"/>
  <c r="AK38" i="20"/>
  <c r="AK37"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N35" i="20"/>
  <c r="AM35" i="20"/>
  <c r="AM37" i="20" s="1"/>
  <c r="AL35" i="20"/>
  <c r="AL37" i="20" s="1"/>
  <c r="AK35" i="20"/>
  <c r="AJ35" i="20"/>
  <c r="AI35" i="20"/>
  <c r="AH35" i="20"/>
  <c r="AH38" i="20" s="1"/>
  <c r="AH40" i="20" s="1"/>
  <c r="AG35" i="20"/>
  <c r="AE38" i="20" s="1"/>
  <c r="AF35" i="20"/>
  <c r="AE35" i="20"/>
  <c r="AD35" i="20"/>
  <c r="AC35" i="20"/>
  <c r="AB35" i="20"/>
  <c r="AA35" i="20"/>
  <c r="Z35" i="20"/>
  <c r="Y35" i="20"/>
  <c r="X35" i="20"/>
  <c r="W35" i="20"/>
  <c r="V35" i="20"/>
  <c r="X27" i="20"/>
  <c r="V27" i="20"/>
  <c r="U27" i="20"/>
  <c r="P27" i="20"/>
  <c r="N27" i="20"/>
  <c r="M27" i="20"/>
  <c r="H27" i="20"/>
  <c r="AE26" i="20"/>
  <c r="AD26" i="20"/>
  <c r="W26" i="20"/>
  <c r="V26" i="20"/>
  <c r="Q26" i="20"/>
  <c r="O26" i="20"/>
  <c r="N26" i="20"/>
  <c r="AF25" i="20"/>
  <c r="AF26" i="20" s="1"/>
  <c r="AE25" i="20"/>
  <c r="AD25" i="20"/>
  <c r="AC25" i="20"/>
  <c r="AC26" i="20" s="1"/>
  <c r="AB25" i="20"/>
  <c r="AA25" i="20"/>
  <c r="Z25" i="20"/>
  <c r="Z26" i="20" s="1"/>
  <c r="X23" i="20"/>
  <c r="X29" i="20" s="1"/>
  <c r="W23" i="20"/>
  <c r="W27" i="20" s="1"/>
  <c r="V23" i="20"/>
  <c r="U23" i="20"/>
  <c r="U26" i="20" s="1"/>
  <c r="T23" i="20"/>
  <c r="T27" i="20" s="1"/>
  <c r="S23" i="20"/>
  <c r="R23" i="20"/>
  <c r="Q23" i="20"/>
  <c r="Q27" i="20" s="1"/>
  <c r="P23" i="20"/>
  <c r="O23" i="20"/>
  <c r="O27" i="20" s="1"/>
  <c r="N23" i="20"/>
  <c r="M23" i="20"/>
  <c r="M26" i="20" s="1"/>
  <c r="L23" i="20"/>
  <c r="L27" i="20" s="1"/>
  <c r="K23" i="20"/>
  <c r="J23" i="20"/>
  <c r="I23" i="20"/>
  <c r="I27" i="20" s="1"/>
  <c r="H23" i="20"/>
  <c r="AA11" i="20"/>
  <c r="X11" i="20"/>
  <c r="Y11" i="20" s="1"/>
  <c r="Z11" i="20" s="1"/>
  <c r="W11" i="20"/>
  <c r="V11" i="20"/>
  <c r="U11" i="20"/>
  <c r="T11" i="20"/>
  <c r="S11" i="20"/>
  <c r="R11" i="20"/>
  <c r="Q11" i="20"/>
  <c r="P11" i="20"/>
  <c r="O11" i="20"/>
  <c r="N11" i="20"/>
  <c r="M11" i="20"/>
  <c r="L11" i="20"/>
  <c r="K11" i="20"/>
  <c r="J11" i="20"/>
  <c r="I11" i="20"/>
  <c r="H11" i="20"/>
  <c r="AD137" i="26"/>
  <c r="AC137" i="26"/>
  <c r="AB137" i="26"/>
  <c r="AA137" i="26"/>
  <c r="Z137" i="26"/>
  <c r="Y137" i="26"/>
  <c r="Y136" i="26" s="1"/>
  <c r="X137" i="26"/>
  <c r="W137" i="26"/>
  <c r="W136" i="26" s="1"/>
  <c r="W48" i="20" s="1"/>
  <c r="V137" i="26"/>
  <c r="U137" i="26"/>
  <c r="T137" i="26"/>
  <c r="S137" i="26"/>
  <c r="AF136" i="26"/>
  <c r="X136" i="26"/>
  <c r="Q136" i="26"/>
  <c r="Q48" i="20" s="1"/>
  <c r="P136" i="26"/>
  <c r="O136" i="26"/>
  <c r="N136" i="26"/>
  <c r="N48" i="20" s="1"/>
  <c r="M136" i="26"/>
  <c r="L136" i="26"/>
  <c r="L48" i="20" s="1"/>
  <c r="K136" i="26"/>
  <c r="K48" i="20" s="1"/>
  <c r="J136" i="26"/>
  <c r="J48" i="20" s="1"/>
  <c r="I136" i="26"/>
  <c r="I48" i="20" s="1"/>
  <c r="H136" i="26"/>
  <c r="AG136" i="26" s="1"/>
  <c r="T104" i="26"/>
  <c r="O104" i="26"/>
  <c r="M104" i="26"/>
  <c r="L104" i="26"/>
  <c r="AG102" i="26"/>
  <c r="AF102" i="26"/>
  <c r="AE102" i="26"/>
  <c r="AD102" i="26"/>
  <c r="AC102" i="26"/>
  <c r="AB102" i="26"/>
  <c r="AA102" i="26"/>
  <c r="Z102" i="26"/>
  <c r="Y102" i="26"/>
  <c r="X102" i="26"/>
  <c r="W102" i="26"/>
  <c r="V102" i="26"/>
  <c r="U102" i="26"/>
  <c r="T102" i="26"/>
  <c r="S102" i="26"/>
  <c r="AG100" i="26"/>
  <c r="AF100" i="26"/>
  <c r="AE100" i="26"/>
  <c r="AD100" i="26"/>
  <c r="AG99" i="26"/>
  <c r="AF99" i="26"/>
  <c r="AE99" i="26"/>
  <c r="AD99" i="26"/>
  <c r="AC99" i="26"/>
  <c r="AB99" i="26"/>
  <c r="AA99" i="26"/>
  <c r="Z99" i="26"/>
  <c r="Y99" i="26"/>
  <c r="M99" i="26"/>
  <c r="AG98" i="26"/>
  <c r="AF98" i="26"/>
  <c r="AE98" i="26"/>
  <c r="X98" i="26"/>
  <c r="W98" i="26"/>
  <c r="P98" i="26"/>
  <c r="O98" i="26"/>
  <c r="H96" i="26"/>
  <c r="H49" i="20" s="1"/>
  <c r="C90" i="26"/>
  <c r="C89" i="26"/>
  <c r="C88" i="26"/>
  <c r="C87" i="26"/>
  <c r="C86" i="26"/>
  <c r="C85" i="26"/>
  <c r="C84" i="26"/>
  <c r="C83" i="26"/>
  <c r="C82" i="26"/>
  <c r="C81" i="26"/>
  <c r="C80" i="26"/>
  <c r="C75" i="26"/>
  <c r="E71" i="26"/>
  <c r="C71" i="26"/>
  <c r="C70" i="26"/>
  <c r="C68" i="26"/>
  <c r="C67" i="26"/>
  <c r="AA60" i="26"/>
  <c r="W60" i="26"/>
  <c r="W17" i="26" s="1"/>
  <c r="X58" i="26"/>
  <c r="T58" i="26"/>
  <c r="P58" i="26"/>
  <c r="Q57" i="26"/>
  <c r="N57" i="26"/>
  <c r="X55" i="26"/>
  <c r="W55" i="26"/>
  <c r="V55" i="26"/>
  <c r="U55" i="26"/>
  <c r="T55" i="26"/>
  <c r="S55" i="26"/>
  <c r="R55" i="26"/>
  <c r="Q55" i="26"/>
  <c r="P55" i="26"/>
  <c r="O55" i="26"/>
  <c r="N55" i="26"/>
  <c r="M55" i="26"/>
  <c r="T54" i="26"/>
  <c r="W53" i="26"/>
  <c r="V53" i="26"/>
  <c r="Q53" i="26"/>
  <c r="O53" i="26"/>
  <c r="N53" i="26"/>
  <c r="N52" i="26"/>
  <c r="M52" i="26"/>
  <c r="AH52" i="26" s="1"/>
  <c r="N51" i="26"/>
  <c r="M51" i="26"/>
  <c r="AD50" i="26"/>
  <c r="AC50" i="26"/>
  <c r="AB50" i="26"/>
  <c r="AA50" i="26"/>
  <c r="Z50" i="26"/>
  <c r="Y50" i="26"/>
  <c r="AH49" i="26"/>
  <c r="AH48" i="26"/>
  <c r="J47" i="26"/>
  <c r="P46" i="26"/>
  <c r="O46" i="26"/>
  <c r="N46" i="26"/>
  <c r="M46" i="26"/>
  <c r="L46" i="26"/>
  <c r="K46" i="26"/>
  <c r="J20" i="26"/>
  <c r="J101" i="26" s="1"/>
  <c r="AD19" i="26"/>
  <c r="AC19" i="26"/>
  <c r="AB19" i="26"/>
  <c r="AA19" i="26"/>
  <c r="Z19" i="26"/>
  <c r="Y19" i="26"/>
  <c r="X19" i="26"/>
  <c r="W19" i="26"/>
  <c r="V19" i="26"/>
  <c r="U19" i="26"/>
  <c r="T19" i="26"/>
  <c r="S19" i="26"/>
  <c r="R19" i="26"/>
  <c r="Q19" i="26"/>
  <c r="P19" i="26"/>
  <c r="O19" i="26"/>
  <c r="N19" i="26"/>
  <c r="M19" i="26"/>
  <c r="L19" i="26"/>
  <c r="K19" i="26"/>
  <c r="S18" i="26"/>
  <c r="Q18" i="26"/>
  <c r="P18" i="26"/>
  <c r="AA17" i="26"/>
  <c r="AD16" i="26"/>
  <c r="AC16" i="26"/>
  <c r="AC100" i="26" s="1"/>
  <c r="AB16" i="26"/>
  <c r="AB100" i="26" s="1"/>
  <c r="AA16" i="26"/>
  <c r="AA100" i="26" s="1"/>
  <c r="Z16" i="26"/>
  <c r="Z100" i="26" s="1"/>
  <c r="Y16" i="26"/>
  <c r="Y100" i="26" s="1"/>
  <c r="AD15" i="26"/>
  <c r="AC15" i="26"/>
  <c r="AB15" i="26"/>
  <c r="AA15" i="26"/>
  <c r="Z15" i="26"/>
  <c r="Y15" i="26"/>
  <c r="N15" i="26"/>
  <c r="M15" i="26"/>
  <c r="D70" i="26" s="1"/>
  <c r="E70" i="26" s="1"/>
  <c r="AD14" i="26"/>
  <c r="AD98" i="26" s="1"/>
  <c r="AC14" i="26"/>
  <c r="AC98" i="26" s="1"/>
  <c r="AB14" i="26"/>
  <c r="AB98" i="26" s="1"/>
  <c r="AA14" i="26"/>
  <c r="AA98" i="26" s="1"/>
  <c r="Z14" i="26"/>
  <c r="Z98" i="26" s="1"/>
  <c r="Y14" i="26"/>
  <c r="Y98" i="26" s="1"/>
  <c r="X14" i="26"/>
  <c r="W14" i="26"/>
  <c r="V14" i="26"/>
  <c r="V98" i="26" s="1"/>
  <c r="U14" i="26"/>
  <c r="U98" i="26" s="1"/>
  <c r="T14" i="26"/>
  <c r="T98" i="26" s="1"/>
  <c r="S14" i="26"/>
  <c r="S98" i="26" s="1"/>
  <c r="R14" i="26"/>
  <c r="R98" i="26" s="1"/>
  <c r="Q14" i="26"/>
  <c r="Q98" i="26" s="1"/>
  <c r="P14" i="26"/>
  <c r="O14" i="26"/>
  <c r="N14" i="26"/>
  <c r="N98" i="26" s="1"/>
  <c r="M14" i="26"/>
  <c r="M98" i="26" s="1"/>
  <c r="L14" i="26"/>
  <c r="L98" i="26" s="1"/>
  <c r="K14" i="26"/>
  <c r="K98" i="26" s="1"/>
  <c r="J14" i="26"/>
  <c r="AH14" i="26" s="1"/>
  <c r="X13" i="26"/>
  <c r="X104" i="26" s="1"/>
  <c r="T13" i="26"/>
  <c r="S13" i="26"/>
  <c r="S104" i="26" s="1"/>
  <c r="R13" i="26"/>
  <c r="R104" i="26" s="1"/>
  <c r="Q13" i="26"/>
  <c r="Q104" i="26" s="1"/>
  <c r="P13" i="26"/>
  <c r="P104" i="26" s="1"/>
  <c r="O13" i="26"/>
  <c r="N13" i="26"/>
  <c r="N104" i="26" s="1"/>
  <c r="M13" i="26"/>
  <c r="L13" i="26"/>
  <c r="K13" i="26"/>
  <c r="K104" i="26" s="1"/>
  <c r="J13" i="26"/>
  <c r="AH12" i="26"/>
  <c r="J12" i="26"/>
  <c r="D67" i="26" s="1"/>
  <c r="S11" i="26"/>
  <c r="R11" i="26"/>
  <c r="K11" i="26"/>
  <c r="K20" i="26" s="1"/>
  <c r="K101" i="26" s="1"/>
  <c r="J11" i="26"/>
  <c r="AD10" i="26"/>
  <c r="X10" i="26"/>
  <c r="W10" i="26"/>
  <c r="V10" i="26"/>
  <c r="V11" i="26" s="1"/>
  <c r="U10" i="26"/>
  <c r="U11" i="26" s="1"/>
  <c r="T10" i="26"/>
  <c r="S10" i="26"/>
  <c r="R10" i="26"/>
  <c r="Q10" i="26"/>
  <c r="P10" i="26"/>
  <c r="O10" i="26"/>
  <c r="N10" i="26"/>
  <c r="N11" i="26" s="1"/>
  <c r="M10" i="26"/>
  <c r="M11" i="26" s="1"/>
  <c r="L10" i="26"/>
  <c r="K10" i="26"/>
  <c r="J10" i="26"/>
  <c r="I10" i="26"/>
  <c r="H10" i="26"/>
  <c r="G10" i="26"/>
  <c r="F10" i="26"/>
  <c r="F11" i="26" s="1"/>
  <c r="F20" i="26" s="1"/>
  <c r="E10" i="26"/>
  <c r="E11" i="26" s="1"/>
  <c r="E20" i="26" s="1"/>
  <c r="D10" i="26"/>
  <c r="X9" i="26"/>
  <c r="W9" i="26"/>
  <c r="W11" i="26" s="1"/>
  <c r="V9" i="26"/>
  <c r="U9" i="26"/>
  <c r="T9" i="26"/>
  <c r="T11" i="26" s="1"/>
  <c r="S9" i="26"/>
  <c r="R9" i="26"/>
  <c r="Q9" i="26"/>
  <c r="Q11" i="26" s="1"/>
  <c r="P9" i="26"/>
  <c r="P11" i="26" s="1"/>
  <c r="O9" i="26"/>
  <c r="O11" i="26" s="1"/>
  <c r="N9" i="26"/>
  <c r="M9" i="26"/>
  <c r="L9" i="26"/>
  <c r="L11" i="26" s="1"/>
  <c r="L20" i="26" s="1"/>
  <c r="L101" i="26" s="1"/>
  <c r="K9" i="26"/>
  <c r="J9" i="26"/>
  <c r="I9" i="26"/>
  <c r="I11" i="26" s="1"/>
  <c r="I20" i="26" s="1"/>
  <c r="I101" i="26" s="1"/>
  <c r="I96" i="26" s="1"/>
  <c r="I49" i="20" s="1"/>
  <c r="H9" i="26"/>
  <c r="H11" i="26" s="1"/>
  <c r="H20" i="26" s="1"/>
  <c r="H101" i="26" s="1"/>
  <c r="G9" i="26"/>
  <c r="G11" i="26" s="1"/>
  <c r="G20" i="26" s="1"/>
  <c r="F9" i="26"/>
  <c r="E9" i="26"/>
  <c r="D9" i="26"/>
  <c r="D11" i="26" s="1"/>
  <c r="D20" i="26" s="1"/>
  <c r="T20" i="74"/>
  <c r="G20" i="74"/>
  <c r="F20" i="74"/>
  <c r="D20" i="74"/>
  <c r="M19" i="74"/>
  <c r="F19" i="74"/>
  <c r="U18" i="74"/>
  <c r="T18" i="74"/>
  <c r="S18" i="74"/>
  <c r="R18" i="74"/>
  <c r="Q18" i="74"/>
  <c r="P18" i="74"/>
  <c r="O18" i="74"/>
  <c r="N18" i="74"/>
  <c r="M18" i="74"/>
  <c r="L18" i="74"/>
  <c r="K18" i="74"/>
  <c r="J18" i="74"/>
  <c r="I18" i="74"/>
  <c r="H18" i="74"/>
  <c r="G18" i="74"/>
  <c r="F18" i="74"/>
  <c r="E18" i="74"/>
  <c r="D18" i="74"/>
  <c r="U17" i="74"/>
  <c r="T17" i="74"/>
  <c r="T13" i="74" s="1"/>
  <c r="S17" i="74"/>
  <c r="R17" i="74"/>
  <c r="R13" i="74" s="1"/>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U13" i="74" s="1"/>
  <c r="T15" i="74"/>
  <c r="S15" i="74"/>
  <c r="R15" i="74"/>
  <c r="Q15" i="74"/>
  <c r="P15" i="74"/>
  <c r="O15" i="74"/>
  <c r="N15" i="74"/>
  <c r="N13" i="74" s="1"/>
  <c r="N20" i="74" s="1"/>
  <c r="N19" i="74" s="1"/>
  <c r="M15" i="74"/>
  <c r="M13" i="74" s="1"/>
  <c r="L15" i="74"/>
  <c r="K15" i="74"/>
  <c r="J15" i="74"/>
  <c r="I15" i="74"/>
  <c r="H15" i="74"/>
  <c r="G15" i="74"/>
  <c r="F15" i="74"/>
  <c r="E15" i="74"/>
  <c r="D15" i="74"/>
  <c r="U14" i="74"/>
  <c r="T14" i="74"/>
  <c r="S14" i="74"/>
  <c r="S13" i="74" s="1"/>
  <c r="R14" i="74"/>
  <c r="Q14" i="74"/>
  <c r="P14" i="74"/>
  <c r="P13" i="74" s="1"/>
  <c r="O14" i="74"/>
  <c r="O13" i="74" s="1"/>
  <c r="N14" i="74"/>
  <c r="M14" i="74"/>
  <c r="L14" i="74"/>
  <c r="K14" i="74"/>
  <c r="J14" i="74"/>
  <c r="I14" i="74"/>
  <c r="H14" i="74"/>
  <c r="G14" i="74"/>
  <c r="F14" i="74"/>
  <c r="E14" i="74"/>
  <c r="D14" i="74"/>
  <c r="K13" i="74"/>
  <c r="K20" i="74" s="1"/>
  <c r="H13" i="74"/>
  <c r="U12" i="74"/>
  <c r="T12" i="74"/>
  <c r="S12" i="74"/>
  <c r="R12" i="74"/>
  <c r="Q12" i="74"/>
  <c r="P12" i="74"/>
  <c r="O12" i="74"/>
  <c r="O20" i="74" s="1"/>
  <c r="N12" i="74"/>
  <c r="M12" i="74"/>
  <c r="L12" i="74"/>
  <c r="K12" i="74"/>
  <c r="J12" i="74"/>
  <c r="I12" i="74"/>
  <c r="H12" i="74"/>
  <c r="G12" i="74"/>
  <c r="F12" i="74"/>
  <c r="E12" i="74"/>
  <c r="D12" i="74"/>
  <c r="U11" i="74"/>
  <c r="U20" i="74" s="1"/>
  <c r="U19" i="74" s="1"/>
  <c r="T11" i="74"/>
  <c r="S11" i="74"/>
  <c r="R11" i="74"/>
  <c r="Q11" i="74"/>
  <c r="P11" i="74"/>
  <c r="O11" i="74"/>
  <c r="N11" i="74"/>
  <c r="M11" i="74"/>
  <c r="M20" i="74" s="1"/>
  <c r="L11" i="74"/>
  <c r="K11" i="74"/>
  <c r="J11" i="74"/>
  <c r="I11" i="74"/>
  <c r="H11" i="74"/>
  <c r="H20" i="74" s="1"/>
  <c r="G11" i="74"/>
  <c r="G19" i="74" s="1"/>
  <c r="F11" i="74"/>
  <c r="E11" i="74"/>
  <c r="E20" i="74" s="1"/>
  <c r="E19" i="74" s="1"/>
  <c r="D11" i="74"/>
  <c r="D19" i="74" s="1"/>
  <c r="AF23" i="25"/>
  <c r="AE23" i="25"/>
  <c r="AD23" i="25"/>
  <c r="AC23" i="25"/>
  <c r="AB23" i="25"/>
  <c r="AA23" i="25"/>
  <c r="Z23" i="25"/>
  <c r="Y23" i="25"/>
  <c r="Y12" i="25" s="1"/>
  <c r="X23" i="25"/>
  <c r="R20" i="25"/>
  <c r="G20" i="25"/>
  <c r="Q19" i="25"/>
  <c r="X18" i="25"/>
  <c r="W18" i="25"/>
  <c r="V18" i="25"/>
  <c r="U18" i="25"/>
  <c r="T18" i="25"/>
  <c r="S18" i="25"/>
  <c r="R18" i="25"/>
  <c r="Q18" i="25"/>
  <c r="P18" i="25"/>
  <c r="O18" i="25"/>
  <c r="N18" i="25"/>
  <c r="M18" i="25"/>
  <c r="L18" i="25"/>
  <c r="K18" i="25"/>
  <c r="J18" i="25"/>
  <c r="I18" i="25"/>
  <c r="H18" i="25"/>
  <c r="G18" i="25"/>
  <c r="F18" i="25"/>
  <c r="E18" i="25"/>
  <c r="D18" i="25"/>
  <c r="X17" i="25"/>
  <c r="X13" i="25" s="1"/>
  <c r="W17" i="25"/>
  <c r="V17" i="25"/>
  <c r="U17" i="25"/>
  <c r="T17" i="25"/>
  <c r="S17" i="25"/>
  <c r="R17" i="25"/>
  <c r="Q17" i="25"/>
  <c r="P17" i="25"/>
  <c r="P13" i="25" s="1"/>
  <c r="O17" i="25"/>
  <c r="N17" i="25"/>
  <c r="M17" i="25"/>
  <c r="L17" i="25"/>
  <c r="K17" i="25"/>
  <c r="J17" i="25"/>
  <c r="I17" i="25"/>
  <c r="H17" i="25"/>
  <c r="H13" i="25" s="1"/>
  <c r="G17" i="25"/>
  <c r="F17" i="25"/>
  <c r="E17" i="25"/>
  <c r="D17" i="25"/>
  <c r="AB16" i="25"/>
  <c r="AC16" i="25" s="1"/>
  <c r="AD16" i="25" s="1"/>
  <c r="X16" i="25"/>
  <c r="Y16" i="25" s="1"/>
  <c r="Z16" i="25" s="1"/>
  <c r="AA16" i="25" s="1"/>
  <c r="W16" i="25"/>
  <c r="V16" i="25"/>
  <c r="U16" i="25"/>
  <c r="T16" i="25"/>
  <c r="S16" i="25"/>
  <c r="S13" i="25" s="1"/>
  <c r="R16" i="25"/>
  <c r="Q16" i="25"/>
  <c r="P16" i="25"/>
  <c r="O16" i="25"/>
  <c r="N16" i="25"/>
  <c r="N13" i="25" s="1"/>
  <c r="M16" i="25"/>
  <c r="L16" i="25"/>
  <c r="L13" i="25" s="1"/>
  <c r="K16" i="25"/>
  <c r="J16" i="25"/>
  <c r="I16" i="25"/>
  <c r="H16" i="25"/>
  <c r="G16" i="25"/>
  <c r="F16" i="25"/>
  <c r="E16" i="25"/>
  <c r="D16" i="25"/>
  <c r="Y15" i="25"/>
  <c r="Z15" i="25" s="1"/>
  <c r="AA15" i="25" s="1"/>
  <c r="AB15" i="25" s="1"/>
  <c r="AC15" i="25" s="1"/>
  <c r="AD15" i="25" s="1"/>
  <c r="X15" i="25"/>
  <c r="W15" i="25"/>
  <c r="V15" i="25"/>
  <c r="U15" i="25"/>
  <c r="T15" i="25"/>
  <c r="S15" i="25"/>
  <c r="R15" i="25"/>
  <c r="Q15" i="25"/>
  <c r="P15" i="25"/>
  <c r="O15" i="25"/>
  <c r="O13" i="25" s="1"/>
  <c r="O20" i="25" s="1"/>
  <c r="N15" i="25"/>
  <c r="M15" i="25"/>
  <c r="L15" i="25"/>
  <c r="K15" i="25"/>
  <c r="J15" i="25"/>
  <c r="I15" i="25"/>
  <c r="H15" i="25"/>
  <c r="G15" i="25"/>
  <c r="F15" i="25"/>
  <c r="E15" i="25"/>
  <c r="D15" i="25"/>
  <c r="Y14" i="25"/>
  <c r="X14" i="25"/>
  <c r="W14" i="25"/>
  <c r="V14" i="25"/>
  <c r="U14" i="25"/>
  <c r="T14" i="25"/>
  <c r="S14" i="25"/>
  <c r="R14" i="25"/>
  <c r="R13" i="25" s="1"/>
  <c r="Q14" i="25"/>
  <c r="P14" i="25"/>
  <c r="O14" i="25"/>
  <c r="N14" i="25"/>
  <c r="M14" i="25"/>
  <c r="M13" i="25" s="1"/>
  <c r="L14" i="25"/>
  <c r="K14" i="25"/>
  <c r="J14" i="25"/>
  <c r="J13" i="25" s="1"/>
  <c r="J20" i="25" s="1"/>
  <c r="I14" i="25"/>
  <c r="I13" i="25" s="1"/>
  <c r="H14" i="25"/>
  <c r="G14" i="25"/>
  <c r="F14" i="25"/>
  <c r="E14" i="25"/>
  <c r="D14" i="25"/>
  <c r="W13" i="25"/>
  <c r="U13" i="25"/>
  <c r="T13" i="25"/>
  <c r="K13" i="25"/>
  <c r="Z12" i="25"/>
  <c r="X12" i="25"/>
  <c r="W12" i="25"/>
  <c r="V12" i="25"/>
  <c r="U12" i="25"/>
  <c r="T12" i="25"/>
  <c r="S12" i="25"/>
  <c r="S20" i="25" s="1"/>
  <c r="R12" i="25"/>
  <c r="Q12" i="25"/>
  <c r="P12" i="25"/>
  <c r="O12" i="25"/>
  <c r="N12" i="25"/>
  <c r="M12" i="25"/>
  <c r="L12" i="25"/>
  <c r="K12" i="25"/>
  <c r="J12" i="25"/>
  <c r="I12" i="25"/>
  <c r="H12" i="25"/>
  <c r="G12" i="25"/>
  <c r="F12" i="25"/>
  <c r="E12" i="25"/>
  <c r="D12" i="25"/>
  <c r="X11" i="25"/>
  <c r="W11" i="25"/>
  <c r="V11" i="25"/>
  <c r="U11" i="25"/>
  <c r="T11" i="25"/>
  <c r="S11" i="25"/>
  <c r="R11" i="25"/>
  <c r="R19" i="25" s="1"/>
  <c r="Q11" i="25"/>
  <c r="Q20" i="25" s="1"/>
  <c r="P11" i="25"/>
  <c r="O11" i="25"/>
  <c r="N11" i="25"/>
  <c r="M11" i="25"/>
  <c r="L11" i="25"/>
  <c r="K11" i="25"/>
  <c r="J11" i="25"/>
  <c r="I11" i="25"/>
  <c r="I20" i="25" s="1"/>
  <c r="H11" i="25"/>
  <c r="G11" i="25"/>
  <c r="G19" i="25" s="1"/>
  <c r="F11" i="25"/>
  <c r="E11" i="25"/>
  <c r="D11" i="25"/>
  <c r="D20" i="25" s="1"/>
  <c r="O14" i="56"/>
  <c r="O13" i="56"/>
  <c r="O12" i="56"/>
  <c r="O11" i="56"/>
  <c r="O10" i="56"/>
  <c r="O9" i="56"/>
  <c r="O8" i="56"/>
  <c r="O7" i="56"/>
  <c r="O6" i="56"/>
  <c r="O5" i="56"/>
  <c r="O4" i="56"/>
  <c r="O3" i="56"/>
  <c r="E2" i="56"/>
  <c r="F2" i="56" s="1"/>
  <c r="G2" i="56" s="1"/>
  <c r="H2" i="56" s="1"/>
  <c r="I2" i="56" s="1"/>
  <c r="J2" i="56" s="1"/>
  <c r="K2" i="56" s="1"/>
  <c r="L2" i="56" s="1"/>
  <c r="M2" i="56" s="1"/>
  <c r="N2" i="56" s="1"/>
  <c r="D2" i="56"/>
  <c r="G4" i="71"/>
  <c r="F2" i="71"/>
  <c r="Q11" i="50"/>
  <c r="P11" i="50"/>
  <c r="O11" i="50"/>
  <c r="N11" i="50"/>
  <c r="M11" i="50"/>
  <c r="L11" i="50"/>
  <c r="K11" i="50"/>
  <c r="J11" i="50"/>
  <c r="I11" i="50"/>
  <c r="H11" i="50"/>
  <c r="G11" i="50"/>
  <c r="F11" i="50"/>
  <c r="E11" i="50"/>
  <c r="D11" i="50"/>
  <c r="C11" i="50"/>
  <c r="Q10" i="50"/>
  <c r="P10" i="50"/>
  <c r="O10" i="50"/>
  <c r="N10" i="50"/>
  <c r="M10" i="50"/>
  <c r="L10" i="50"/>
  <c r="P9" i="50"/>
  <c r="J9" i="50"/>
  <c r="H9" i="50"/>
  <c r="G9" i="50"/>
  <c r="F9" i="50"/>
  <c r="E9" i="50"/>
  <c r="C9" i="50"/>
  <c r="Q8" i="50"/>
  <c r="P8" i="50"/>
  <c r="O8" i="50"/>
  <c r="N8" i="50"/>
  <c r="Q7" i="50"/>
  <c r="P7" i="50"/>
  <c r="O7" i="50"/>
  <c r="N7" i="50"/>
  <c r="M7" i="50"/>
  <c r="L7" i="50"/>
  <c r="K7" i="50"/>
  <c r="J7" i="50"/>
  <c r="I7" i="50"/>
  <c r="H7" i="50"/>
  <c r="G7" i="50"/>
  <c r="F7" i="50"/>
  <c r="E7" i="50"/>
  <c r="D7" i="50"/>
  <c r="C7" i="50"/>
  <c r="G6" i="50"/>
  <c r="E6" i="50"/>
  <c r="D6" i="50"/>
  <c r="C6" i="50"/>
  <c r="D5" i="50"/>
  <c r="C5" i="50"/>
  <c r="M4" i="50"/>
  <c r="E4" i="50"/>
  <c r="D4" i="50"/>
  <c r="C4" i="50"/>
  <c r="T86" i="80"/>
  <c r="S86" i="80"/>
  <c r="R86" i="80"/>
  <c r="Q86" i="80"/>
  <c r="P86" i="80"/>
  <c r="O86" i="80"/>
  <c r="N86" i="80"/>
  <c r="M86" i="80"/>
  <c r="L86" i="80"/>
  <c r="K86" i="80"/>
  <c r="J86" i="80"/>
  <c r="I86" i="80"/>
  <c r="H86" i="80"/>
  <c r="G86" i="80"/>
  <c r="F86" i="80"/>
  <c r="E86" i="80"/>
  <c r="D86" i="80"/>
  <c r="C86" i="80"/>
  <c r="T85" i="80"/>
  <c r="S85" i="80"/>
  <c r="R85" i="80"/>
  <c r="Q85" i="80"/>
  <c r="P85" i="80"/>
  <c r="O85" i="80"/>
  <c r="N85" i="80"/>
  <c r="M85" i="80"/>
  <c r="L85" i="80"/>
  <c r="K85" i="80"/>
  <c r="J85" i="80"/>
  <c r="I85" i="80"/>
  <c r="H85" i="80"/>
  <c r="G85" i="80"/>
  <c r="F85" i="80"/>
  <c r="E85" i="80"/>
  <c r="D85" i="80"/>
  <c r="C85" i="80"/>
  <c r="T84" i="80"/>
  <c r="S84" i="80"/>
  <c r="R84" i="80"/>
  <c r="Q84" i="80"/>
  <c r="P84" i="80"/>
  <c r="O84" i="80"/>
  <c r="N84" i="80"/>
  <c r="M84" i="80"/>
  <c r="L84" i="80"/>
  <c r="K84" i="80"/>
  <c r="J84" i="80"/>
  <c r="I84" i="80"/>
  <c r="H84" i="80"/>
  <c r="G84" i="80"/>
  <c r="F84" i="80"/>
  <c r="E84" i="80"/>
  <c r="D84" i="80"/>
  <c r="C84" i="80"/>
  <c r="T83" i="80"/>
  <c r="S83" i="80"/>
  <c r="R83" i="80"/>
  <c r="Q83" i="80"/>
  <c r="P83" i="80"/>
  <c r="O83" i="80"/>
  <c r="N83" i="80"/>
  <c r="M83" i="80"/>
  <c r="L83" i="80"/>
  <c r="K83" i="80"/>
  <c r="J83" i="80"/>
  <c r="I83" i="80"/>
  <c r="H83" i="80"/>
  <c r="G83" i="80"/>
  <c r="F83" i="80"/>
  <c r="E83" i="80"/>
  <c r="D83" i="80"/>
  <c r="C83" i="80"/>
  <c r="W30" i="80"/>
  <c r="L24" i="35"/>
  <c r="K24" i="35"/>
  <c r="J24" i="35"/>
  <c r="I24" i="35"/>
  <c r="H24" i="35"/>
  <c r="G24" i="35"/>
  <c r="F24" i="35"/>
  <c r="E24" i="35"/>
  <c r="D24" i="35"/>
  <c r="C24" i="35"/>
  <c r="L23" i="35"/>
  <c r="K23" i="35"/>
  <c r="J23" i="35"/>
  <c r="I23" i="35"/>
  <c r="H23" i="35"/>
  <c r="I25" i="55" s="1"/>
  <c r="I121" i="55" s="1"/>
  <c r="G23" i="35"/>
  <c r="F23" i="35"/>
  <c r="E23" i="35"/>
  <c r="D23" i="35"/>
  <c r="C23" i="35"/>
  <c r="C20" i="35"/>
  <c r="L17" i="35"/>
  <c r="L16" i="35"/>
  <c r="K16" i="35"/>
  <c r="L15" i="35"/>
  <c r="K15" i="35"/>
  <c r="L14" i="35"/>
  <c r="K14" i="35"/>
  <c r="J14" i="35"/>
  <c r="I14" i="35"/>
  <c r="H14" i="35"/>
  <c r="G14" i="35"/>
  <c r="F14" i="35"/>
  <c r="E14" i="35"/>
  <c r="D14" i="35"/>
  <c r="C14" i="35"/>
  <c r="L13" i="35"/>
  <c r="K13" i="35"/>
  <c r="J13" i="35"/>
  <c r="I13" i="35"/>
  <c r="H13" i="35"/>
  <c r="G13" i="35"/>
  <c r="F13" i="35"/>
  <c r="E13" i="35"/>
  <c r="D13" i="35"/>
  <c r="E15" i="55" s="1"/>
  <c r="E111" i="55" s="1"/>
  <c r="C13" i="35"/>
  <c r="C12" i="35"/>
  <c r="L9" i="35"/>
  <c r="L8" i="35"/>
  <c r="K8" i="35"/>
  <c r="J8" i="35"/>
  <c r="L7" i="35"/>
  <c r="K7" i="35"/>
  <c r="I7" i="35"/>
  <c r="E7" i="35"/>
  <c r="L6" i="35"/>
  <c r="L5" i="35"/>
  <c r="C5" i="35"/>
  <c r="F4" i="35"/>
  <c r="G6" i="55" s="1"/>
  <c r="D4" i="35"/>
  <c r="C4" i="35"/>
  <c r="C3" i="35"/>
  <c r="G121" i="55"/>
  <c r="E112" i="55"/>
  <c r="I89" i="55"/>
  <c r="G89" i="55"/>
  <c r="G80" i="55"/>
  <c r="G79" i="55"/>
  <c r="E79" i="55"/>
  <c r="D32" i="55"/>
  <c r="D128" i="55" s="1"/>
  <c r="I30" i="55"/>
  <c r="E30" i="55"/>
  <c r="E94" i="55" s="1"/>
  <c r="D30" i="55"/>
  <c r="D126" i="55" s="1"/>
  <c r="I29" i="55"/>
  <c r="I125" i="55" s="1"/>
  <c r="G29" i="55"/>
  <c r="H28" i="55"/>
  <c r="H124" i="55" s="1"/>
  <c r="D28" i="55"/>
  <c r="D124" i="55" s="1"/>
  <c r="H25" i="55"/>
  <c r="H89" i="55" s="1"/>
  <c r="G25" i="55"/>
  <c r="F25" i="55"/>
  <c r="F121" i="55" s="1"/>
  <c r="E25" i="55"/>
  <c r="E121" i="55" s="1"/>
  <c r="D25" i="55"/>
  <c r="D121" i="55" s="1"/>
  <c r="C25" i="55"/>
  <c r="B25" i="55"/>
  <c r="C24" i="55"/>
  <c r="B24" i="55"/>
  <c r="C23" i="55"/>
  <c r="B23" i="55"/>
  <c r="D22" i="55"/>
  <c r="D118" i="55" s="1"/>
  <c r="C22" i="55"/>
  <c r="B22" i="55"/>
  <c r="C21" i="55"/>
  <c r="B21" i="55"/>
  <c r="C20" i="55"/>
  <c r="B20" i="55"/>
  <c r="C19" i="55"/>
  <c r="B19" i="55"/>
  <c r="C18" i="55"/>
  <c r="B18" i="55"/>
  <c r="C17" i="55"/>
  <c r="B17" i="55"/>
  <c r="I16" i="55"/>
  <c r="I112" i="55" s="1"/>
  <c r="H16" i="55"/>
  <c r="H112" i="55" s="1"/>
  <c r="G16" i="55"/>
  <c r="G112" i="55" s="1"/>
  <c r="F16" i="55"/>
  <c r="F80" i="55" s="1"/>
  <c r="E16" i="55"/>
  <c r="E80" i="55" s="1"/>
  <c r="D16" i="55"/>
  <c r="D112" i="55" s="1"/>
  <c r="C16" i="55"/>
  <c r="B16" i="55"/>
  <c r="I15" i="55"/>
  <c r="I111" i="55" s="1"/>
  <c r="H15" i="55"/>
  <c r="H111" i="55" s="1"/>
  <c r="G15" i="55"/>
  <c r="G111" i="55" s="1"/>
  <c r="F15" i="55"/>
  <c r="F111" i="55" s="1"/>
  <c r="D15" i="55"/>
  <c r="D79" i="55" s="1"/>
  <c r="C15" i="55"/>
  <c r="B15" i="55"/>
  <c r="D14" i="55"/>
  <c r="D110" i="55" s="1"/>
  <c r="C14" i="55"/>
  <c r="B14" i="55"/>
  <c r="C13" i="55"/>
  <c r="B13" i="55"/>
  <c r="C12" i="55"/>
  <c r="B12" i="55"/>
  <c r="C11" i="55"/>
  <c r="B11" i="55"/>
  <c r="C10" i="55"/>
  <c r="B10" i="55"/>
  <c r="F9" i="55"/>
  <c r="C9" i="55"/>
  <c r="B9" i="55"/>
  <c r="C8" i="55"/>
  <c r="B8" i="55"/>
  <c r="D7" i="55"/>
  <c r="C7" i="55"/>
  <c r="B7" i="55"/>
  <c r="E6" i="55"/>
  <c r="E102" i="55" s="1"/>
  <c r="D6" i="55"/>
  <c r="C6" i="55"/>
  <c r="B6" i="55"/>
  <c r="D5" i="55"/>
  <c r="C5" i="55"/>
  <c r="B5" i="55"/>
  <c r="C4" i="55"/>
  <c r="B4" i="55"/>
  <c r="F3" i="55"/>
  <c r="E3" i="55"/>
  <c r="D3" i="55"/>
  <c r="C3" i="55"/>
  <c r="B3" i="55"/>
  <c r="G81" i="46"/>
  <c r="F81" i="46"/>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G73" i="46"/>
  <c r="F73" i="46"/>
  <c r="E73" i="46"/>
  <c r="C73" i="46"/>
  <c r="E72" i="46"/>
  <c r="F72" i="46" s="1"/>
  <c r="G72" i="46" s="1"/>
  <c r="C72" i="46"/>
  <c r="G71" i="46"/>
  <c r="F71" i="46"/>
  <c r="E71" i="46"/>
  <c r="C71" i="46"/>
  <c r="E70" i="46"/>
  <c r="F70" i="46" s="1"/>
  <c r="G70" i="46" s="1"/>
  <c r="C70" i="46"/>
  <c r="F69" i="46"/>
  <c r="G69" i="46" s="1"/>
  <c r="E69" i="46"/>
  <c r="C69" i="46"/>
  <c r="E68" i="46"/>
  <c r="F68" i="46" s="1"/>
  <c r="G68" i="46" s="1"/>
  <c r="C68" i="46"/>
  <c r="F67" i="46"/>
  <c r="G67" i="46" s="1"/>
  <c r="E67" i="46"/>
  <c r="C67" i="46"/>
  <c r="E66" i="46"/>
  <c r="F66" i="46" s="1"/>
  <c r="G66" i="46" s="1"/>
  <c r="C66" i="46"/>
  <c r="G65" i="46"/>
  <c r="F65" i="46"/>
  <c r="E65" i="46"/>
  <c r="C65" i="46"/>
  <c r="E64" i="46"/>
  <c r="F64" i="46" s="1"/>
  <c r="G64" i="46" s="1"/>
  <c r="C64" i="46"/>
  <c r="G63" i="46"/>
  <c r="F63" i="46"/>
  <c r="E63" i="46"/>
  <c r="C63" i="46"/>
  <c r="E62" i="46"/>
  <c r="F62" i="46" s="1"/>
  <c r="G62" i="46" s="1"/>
  <c r="C62" i="46"/>
  <c r="F61" i="46"/>
  <c r="G61" i="46" s="1"/>
  <c r="E61" i="46"/>
  <c r="C61" i="46"/>
  <c r="E60" i="46"/>
  <c r="F60" i="46" s="1"/>
  <c r="G60" i="46" s="1"/>
  <c r="C60" i="46"/>
  <c r="F59" i="46"/>
  <c r="G59" i="46" s="1"/>
  <c r="E59" i="46"/>
  <c r="C59" i="46"/>
  <c r="E58" i="46"/>
  <c r="F58" i="46" s="1"/>
  <c r="G58" i="46" s="1"/>
  <c r="C58" i="46"/>
  <c r="F57" i="46"/>
  <c r="E57" i="46"/>
  <c r="C57" i="46"/>
  <c r="G56" i="46"/>
  <c r="E56" i="46"/>
  <c r="F56" i="46" s="1"/>
  <c r="C56" i="46"/>
  <c r="E55" i="46"/>
  <c r="F55" i="46" s="1"/>
  <c r="G55" i="46" s="1"/>
  <c r="C55" i="46"/>
  <c r="E54" i="46"/>
  <c r="F54" i="46" s="1"/>
  <c r="G54" i="46" s="1"/>
  <c r="C54" i="46"/>
  <c r="F53" i="46"/>
  <c r="G53" i="46" s="1"/>
  <c r="E53" i="46"/>
  <c r="C53" i="46"/>
  <c r="E52" i="46"/>
  <c r="F52" i="46" s="1"/>
  <c r="G52" i="46" s="1"/>
  <c r="C52" i="46"/>
  <c r="E51" i="46"/>
  <c r="F51" i="46" s="1"/>
  <c r="G51" i="46" s="1"/>
  <c r="C51" i="46"/>
  <c r="G50" i="46"/>
  <c r="E50" i="46"/>
  <c r="F50" i="46" s="1"/>
  <c r="C50" i="46"/>
  <c r="E49" i="46"/>
  <c r="F49" i="46" s="1"/>
  <c r="G49" i="46" s="1"/>
  <c r="C49" i="46"/>
  <c r="E48" i="46"/>
  <c r="F48" i="46" s="1"/>
  <c r="G48" i="46" s="1"/>
  <c r="C48" i="46"/>
  <c r="F47" i="46"/>
  <c r="G47" i="46" s="1"/>
  <c r="E47" i="46"/>
  <c r="C47" i="46"/>
  <c r="G46" i="46"/>
  <c r="E46" i="46"/>
  <c r="F46" i="46" s="1"/>
  <c r="C46" i="46"/>
  <c r="E45" i="46"/>
  <c r="F45" i="46" s="1"/>
  <c r="G45" i="46" s="1"/>
  <c r="C45" i="46"/>
  <c r="G44" i="46"/>
  <c r="E44" i="46"/>
  <c r="F44" i="46" s="1"/>
  <c r="C44" i="46"/>
  <c r="E43" i="46"/>
  <c r="F43" i="46" s="1"/>
  <c r="G43" i="46" s="1"/>
  <c r="C43" i="46"/>
  <c r="E42" i="46"/>
  <c r="F42" i="46" s="1"/>
  <c r="G42" i="46" s="1"/>
  <c r="C42" i="46"/>
  <c r="F41" i="46"/>
  <c r="G41" i="46" s="1"/>
  <c r="E41" i="46"/>
  <c r="C41" i="46"/>
  <c r="G40" i="46"/>
  <c r="E40" i="46"/>
  <c r="F40" i="46" s="1"/>
  <c r="C40" i="46"/>
  <c r="E39" i="46"/>
  <c r="F39" i="46" s="1"/>
  <c r="G39" i="46" s="1"/>
  <c r="C39" i="46"/>
  <c r="E38" i="46"/>
  <c r="F38" i="46" s="1"/>
  <c r="G38" i="46" s="1"/>
  <c r="C38" i="46"/>
  <c r="E37" i="46"/>
  <c r="F37" i="46" s="1"/>
  <c r="G37" i="46" s="1"/>
  <c r="C37" i="46"/>
  <c r="E36" i="46"/>
  <c r="F36" i="46" s="1"/>
  <c r="G36" i="46" s="1"/>
  <c r="C36" i="46"/>
  <c r="F35" i="46"/>
  <c r="G35" i="46" s="1"/>
  <c r="E35" i="46"/>
  <c r="C35" i="46"/>
  <c r="G34" i="46"/>
  <c r="E34" i="46"/>
  <c r="F34" i="46" s="1"/>
  <c r="C34" i="46"/>
  <c r="E33" i="46"/>
  <c r="F33" i="46" s="1"/>
  <c r="G33" i="46" s="1"/>
  <c r="C33" i="46"/>
  <c r="G32" i="46"/>
  <c r="E32" i="46"/>
  <c r="F32" i="46" s="1"/>
  <c r="C32" i="46"/>
  <c r="F31" i="46"/>
  <c r="G31" i="46" s="1"/>
  <c r="E31" i="46"/>
  <c r="F30" i="46"/>
  <c r="G30" i="46" s="1"/>
  <c r="E30" i="46"/>
  <c r="F29" i="46"/>
  <c r="G29" i="46" s="1"/>
  <c r="E29" i="46"/>
  <c r="F28" i="46"/>
  <c r="G28" i="46" s="1"/>
  <c r="E28" i="46"/>
  <c r="E27" i="46"/>
  <c r="F27" i="46" s="1"/>
  <c r="G27" i="46" s="1"/>
  <c r="C27" i="46"/>
  <c r="E26" i="46"/>
  <c r="F26" i="46" s="1"/>
  <c r="G26" i="46" s="1"/>
  <c r="C26" i="46"/>
  <c r="E25" i="46"/>
  <c r="F25" i="46" s="1"/>
  <c r="G25" i="46" s="1"/>
  <c r="C25" i="46"/>
  <c r="G24" i="46"/>
  <c r="F24" i="46"/>
  <c r="E24" i="46"/>
  <c r="C24" i="46"/>
  <c r="G23" i="46"/>
  <c r="E23" i="46"/>
  <c r="F23" i="46" s="1"/>
  <c r="C23" i="46"/>
  <c r="F22" i="46"/>
  <c r="G22" i="46" s="1"/>
  <c r="E22" i="46"/>
  <c r="C22" i="46"/>
  <c r="E21" i="46"/>
  <c r="F21" i="46" s="1"/>
  <c r="G21" i="46" s="1"/>
  <c r="C21" i="46"/>
  <c r="E20" i="46"/>
  <c r="F20" i="46" s="1"/>
  <c r="G20" i="46" s="1"/>
  <c r="C20" i="46"/>
  <c r="E19" i="46"/>
  <c r="F19" i="46" s="1"/>
  <c r="G19" i="46" s="1"/>
  <c r="C19" i="46"/>
  <c r="E18" i="46"/>
  <c r="F18" i="46" s="1"/>
  <c r="G18" i="46" s="1"/>
  <c r="C18" i="46"/>
  <c r="G17" i="46"/>
  <c r="E17" i="46"/>
  <c r="F17" i="46" s="1"/>
  <c r="C17" i="46"/>
  <c r="G16" i="46"/>
  <c r="F16" i="46"/>
  <c r="E16" i="46"/>
  <c r="C16" i="46"/>
  <c r="G15" i="46"/>
  <c r="E15" i="46"/>
  <c r="F15" i="46" s="1"/>
  <c r="C15" i="46"/>
  <c r="F14" i="46"/>
  <c r="G14" i="46" s="1"/>
  <c r="E14" i="46"/>
  <c r="C14" i="46"/>
  <c r="E13" i="46"/>
  <c r="F13" i="46" s="1"/>
  <c r="G13" i="46" s="1"/>
  <c r="C13" i="46"/>
  <c r="E12" i="46"/>
  <c r="F12" i="46" s="1"/>
  <c r="G12" i="46" s="1"/>
  <c r="C12" i="46"/>
  <c r="E11" i="46"/>
  <c r="F11" i="46" s="1"/>
  <c r="G11" i="46" s="1"/>
  <c r="C11" i="46"/>
  <c r="E10" i="46"/>
  <c r="F10" i="46" s="1"/>
  <c r="G10" i="46" s="1"/>
  <c r="C10" i="46"/>
  <c r="G9" i="46"/>
  <c r="E9" i="46"/>
  <c r="F9" i="46" s="1"/>
  <c r="C9" i="46"/>
  <c r="G8" i="46"/>
  <c r="F8" i="46"/>
  <c r="E8" i="46"/>
  <c r="C8" i="46"/>
  <c r="G7" i="46"/>
  <c r="E7" i="46"/>
  <c r="F7" i="46" s="1"/>
  <c r="C7" i="46"/>
  <c r="F6" i="46"/>
  <c r="G6" i="46" s="1"/>
  <c r="E6" i="46"/>
  <c r="C6" i="46"/>
  <c r="E5" i="46"/>
  <c r="F5" i="46" s="1"/>
  <c r="G5" i="46" s="1"/>
  <c r="C5" i="46"/>
  <c r="E4" i="46"/>
  <c r="F4" i="46" s="1"/>
  <c r="G4" i="46" s="1"/>
  <c r="C4" i="46"/>
  <c r="E3" i="46"/>
  <c r="F3" i="46" s="1"/>
  <c r="G3" i="46" s="1"/>
  <c r="C3" i="46"/>
  <c r="C2" i="46"/>
  <c r="Q23" i="74"/>
  <c r="R23" i="25"/>
  <c r="P23" i="74"/>
  <c r="Q23" i="25"/>
  <c r="O23" i="74"/>
  <c r="P23" i="25"/>
  <c r="N23" i="74"/>
  <c r="O23" i="25"/>
  <c r="T23" i="74"/>
  <c r="U23" i="25"/>
  <c r="M23" i="25"/>
  <c r="U23" i="74"/>
  <c r="S23" i="74"/>
  <c r="R23" i="74"/>
  <c r="M23" i="74"/>
  <c r="T23" i="25"/>
  <c r="S23" i="25"/>
  <c r="N23" i="25"/>
  <c r="AD12" i="70" l="1"/>
  <c r="AD23" i="70" s="1"/>
  <c r="H2" i="71" s="1"/>
  <c r="Y48" i="70"/>
  <c r="AF48" i="70"/>
  <c r="AF14" i="70" s="1"/>
  <c r="AF24" i="70" s="1"/>
  <c r="J3" i="71" s="1"/>
  <c r="Z49" i="70"/>
  <c r="Z16" i="70" s="1"/>
  <c r="Z25" i="70" s="1"/>
  <c r="D4" i="71" s="1"/>
  <c r="AB16" i="70"/>
  <c r="AB25" i="70" s="1"/>
  <c r="F4" i="71" s="1"/>
  <c r="H30" i="55"/>
  <c r="H126" i="55" s="1"/>
  <c r="AA12" i="70"/>
  <c r="AA23" i="70" s="1"/>
  <c r="E2" i="71" s="1"/>
  <c r="Y18" i="70"/>
  <c r="Y26" i="70" s="1"/>
  <c r="C5" i="71" s="1"/>
  <c r="E31" i="55"/>
  <c r="E127" i="55" s="1"/>
  <c r="F29" i="55"/>
  <c r="F125" i="55" s="1"/>
  <c r="Z14" i="70"/>
  <c r="Z24" i="70" s="1"/>
  <c r="D3" i="71" s="1"/>
  <c r="AA16" i="70"/>
  <c r="AA25" i="70" s="1"/>
  <c r="E4" i="71" s="1"/>
  <c r="AA50" i="70"/>
  <c r="G31" i="55" s="1"/>
  <c r="G30" i="55"/>
  <c r="AC12" i="70"/>
  <c r="AC23" i="70" s="1"/>
  <c r="G2" i="71" s="1"/>
  <c r="I28" i="55"/>
  <c r="I127" i="55"/>
  <c r="I95" i="55"/>
  <c r="E29" i="55"/>
  <c r="Y14" i="70"/>
  <c r="Y24" i="70" s="1"/>
  <c r="C3" i="71" s="1"/>
  <c r="Z50" i="70"/>
  <c r="F31" i="55" s="1"/>
  <c r="F127" i="55" s="1"/>
  <c r="F30" i="55"/>
  <c r="F94" i="55" s="1"/>
  <c r="AE50" i="70"/>
  <c r="AE18" i="70" s="1"/>
  <c r="AE26" i="70" s="1"/>
  <c r="I5" i="71" s="1"/>
  <c r="AE16" i="70"/>
  <c r="AE25" i="70" s="1"/>
  <c r="I4" i="71" s="1"/>
  <c r="H31" i="55"/>
  <c r="H95" i="55" s="1"/>
  <c r="E126" i="55"/>
  <c r="Z12" i="70"/>
  <c r="Z23" i="70" s="1"/>
  <c r="D2" i="71" s="1"/>
  <c r="H32" i="55"/>
  <c r="H128" i="55" s="1"/>
  <c r="H29" i="55"/>
  <c r="H125" i="55" s="1"/>
  <c r="AB18" i="70"/>
  <c r="AB26" i="70" s="1"/>
  <c r="F5" i="71" s="1"/>
  <c r="AE12" i="70"/>
  <c r="AE23" i="70" s="1"/>
  <c r="I2" i="71" s="1"/>
  <c r="AD49" i="70"/>
  <c r="K45" i="75"/>
  <c r="K37" i="59"/>
  <c r="C11" i="35"/>
  <c r="D13" i="55" s="1"/>
  <c r="D109" i="55" s="1"/>
  <c r="J29" i="49"/>
  <c r="J30" i="49" s="1"/>
  <c r="S37" i="59"/>
  <c r="G12" i="49"/>
  <c r="O12" i="49"/>
  <c r="W12" i="49"/>
  <c r="H12" i="49"/>
  <c r="P12" i="49"/>
  <c r="P29" i="49" s="1"/>
  <c r="X12" i="49"/>
  <c r="X29" i="49" s="1"/>
  <c r="V16" i="74"/>
  <c r="W16" i="74" s="1"/>
  <c r="X16" i="74" s="1"/>
  <c r="Y16" i="74" s="1"/>
  <c r="Z16" i="74" s="1"/>
  <c r="AA16" i="74" s="1"/>
  <c r="AB16" i="74" s="1"/>
  <c r="AC16" i="74" s="1"/>
  <c r="V12" i="74"/>
  <c r="V15" i="74"/>
  <c r="W15" i="74" s="1"/>
  <c r="X15" i="74" s="1"/>
  <c r="Y15" i="74" s="1"/>
  <c r="Z15" i="74" s="1"/>
  <c r="AA15" i="74" s="1"/>
  <c r="AB15" i="74" s="1"/>
  <c r="AC15" i="74" s="1"/>
  <c r="AG48" i="20"/>
  <c r="L3" i="35"/>
  <c r="E4" i="35"/>
  <c r="F6" i="55" s="1"/>
  <c r="I28" i="20"/>
  <c r="I12" i="20"/>
  <c r="Z14" i="25"/>
  <c r="Z13" i="25" s="1"/>
  <c r="AA12" i="25"/>
  <c r="AB11" i="20"/>
  <c r="S16" i="38"/>
  <c r="L15" i="38"/>
  <c r="N15" i="38" s="1"/>
  <c r="D102" i="55"/>
  <c r="D70" i="55"/>
  <c r="G102" i="55"/>
  <c r="G70" i="55"/>
  <c r="AH55" i="26"/>
  <c r="Y48" i="20"/>
  <c r="D3" i="35"/>
  <c r="E5" i="55" s="1"/>
  <c r="P20" i="25"/>
  <c r="P19" i="25" s="1"/>
  <c r="E67" i="26"/>
  <c r="D66" i="26"/>
  <c r="AF48" i="20"/>
  <c r="K3" i="35"/>
  <c r="G125" i="55"/>
  <c r="G93" i="55"/>
  <c r="I126" i="55"/>
  <c r="I94" i="55"/>
  <c r="E32" i="55"/>
  <c r="D71" i="55"/>
  <c r="D103" i="55"/>
  <c r="Y13" i="33"/>
  <c r="Y10" i="33" s="1"/>
  <c r="X13" i="33"/>
  <c r="AA13" i="33"/>
  <c r="Z13" i="33"/>
  <c r="O24" i="38"/>
  <c r="F105" i="55"/>
  <c r="F73" i="55"/>
  <c r="D101" i="55"/>
  <c r="D69" i="55"/>
  <c r="H20" i="25"/>
  <c r="AH19" i="26"/>
  <c r="AH47" i="26"/>
  <c r="AI12" i="26" s="1"/>
  <c r="J46" i="26"/>
  <c r="AH46" i="26" s="1"/>
  <c r="D78" i="55"/>
  <c r="F79" i="55"/>
  <c r="H80" i="55"/>
  <c r="D86" i="55"/>
  <c r="D92" i="55"/>
  <c r="H94" i="55"/>
  <c r="D96" i="55"/>
  <c r="D111" i="55"/>
  <c r="F112" i="55"/>
  <c r="H121" i="55"/>
  <c r="D125" i="55"/>
  <c r="I14" i="59"/>
  <c r="I90" i="59" s="1"/>
  <c r="I89" i="59" s="1"/>
  <c r="I92" i="59" s="1"/>
  <c r="Q14" i="75"/>
  <c r="Q14" i="59"/>
  <c r="O19" i="74"/>
  <c r="V17" i="74"/>
  <c r="W17" i="74" s="1"/>
  <c r="X17" i="74" s="1"/>
  <c r="Y17" i="74" s="1"/>
  <c r="Z17" i="74" s="1"/>
  <c r="AA17" i="74" s="1"/>
  <c r="AB17" i="74" s="1"/>
  <c r="AC17" i="74" s="1"/>
  <c r="H19" i="74"/>
  <c r="V20" i="74"/>
  <c r="W20" i="74" s="1"/>
  <c r="X20" i="74" s="1"/>
  <c r="Y20" i="74" s="1"/>
  <c r="Z20" i="74" s="1"/>
  <c r="AA20" i="74" s="1"/>
  <c r="AB20" i="74" s="1"/>
  <c r="AC20" i="74" s="1"/>
  <c r="D69" i="26"/>
  <c r="U53" i="26"/>
  <c r="M53" i="26"/>
  <c r="T53" i="26"/>
  <c r="S53" i="26"/>
  <c r="R53" i="26"/>
  <c r="C69" i="26"/>
  <c r="X53" i="26"/>
  <c r="P53" i="26"/>
  <c r="C72" i="26"/>
  <c r="Z136" i="26"/>
  <c r="J27" i="20"/>
  <c r="R27" i="20"/>
  <c r="R26" i="20"/>
  <c r="J45" i="75"/>
  <c r="J46" i="75" s="1"/>
  <c r="J37" i="59"/>
  <c r="J38" i="59" s="1"/>
  <c r="R45" i="75"/>
  <c r="R37" i="59"/>
  <c r="R29" i="49"/>
  <c r="R30" i="49" s="1"/>
  <c r="Z96" i="59"/>
  <c r="Z98" i="59" s="1"/>
  <c r="Z97" i="59"/>
  <c r="E70" i="55"/>
  <c r="I80" i="55"/>
  <c r="J19" i="25"/>
  <c r="J14" i="75" s="1"/>
  <c r="P20" i="74"/>
  <c r="AJ13" i="26"/>
  <c r="J104" i="26"/>
  <c r="AH57" i="26"/>
  <c r="AI19" i="26" s="1"/>
  <c r="X54" i="26"/>
  <c r="X16" i="26" s="1"/>
  <c r="X100" i="26" s="1"/>
  <c r="P54" i="26"/>
  <c r="P16" i="26" s="1"/>
  <c r="P100" i="26" s="1"/>
  <c r="W54" i="26"/>
  <c r="W16" i="26" s="1"/>
  <c r="W100" i="26" s="1"/>
  <c r="O54" i="26"/>
  <c r="O16" i="26" s="1"/>
  <c r="O100" i="26" s="1"/>
  <c r="V54" i="26"/>
  <c r="V16" i="26" s="1"/>
  <c r="V100" i="26" s="1"/>
  <c r="N54" i="26"/>
  <c r="N16" i="26" s="1"/>
  <c r="N100" i="26" s="1"/>
  <c r="U54" i="26"/>
  <c r="U16" i="26" s="1"/>
  <c r="U100" i="26" s="1"/>
  <c r="M54" i="26"/>
  <c r="S54" i="26"/>
  <c r="S16" i="26" s="1"/>
  <c r="S100" i="26" s="1"/>
  <c r="K27" i="20"/>
  <c r="S27" i="20"/>
  <c r="T26" i="20"/>
  <c r="S26" i="20"/>
  <c r="AD53" i="30"/>
  <c r="L15" i="30"/>
  <c r="L13" i="30"/>
  <c r="D77" i="55"/>
  <c r="H79" i="55"/>
  <c r="D89" i="55"/>
  <c r="F92" i="55"/>
  <c r="D95" i="55"/>
  <c r="K20" i="25"/>
  <c r="S19" i="25"/>
  <c r="S14" i="75" s="1"/>
  <c r="I20" i="74"/>
  <c r="I19" i="74"/>
  <c r="Q20" i="74"/>
  <c r="Q19" i="74"/>
  <c r="L13" i="74"/>
  <c r="L20" i="74" s="1"/>
  <c r="K96" i="26"/>
  <c r="T136" i="26"/>
  <c r="AB136" i="26"/>
  <c r="AB12" i="30"/>
  <c r="Q13" i="33"/>
  <c r="P13" i="33"/>
  <c r="S13" i="33"/>
  <c r="R13" i="33"/>
  <c r="I79" i="55"/>
  <c r="E89" i="55"/>
  <c r="G92" i="55"/>
  <c r="I93" i="55"/>
  <c r="E95" i="55"/>
  <c r="D19" i="25"/>
  <c r="D14" i="59" s="1"/>
  <c r="L20" i="25"/>
  <c r="T20" i="25"/>
  <c r="R14" i="75"/>
  <c r="R98" i="75" s="1"/>
  <c r="R14" i="59"/>
  <c r="R90" i="59" s="1"/>
  <c r="R20" i="74"/>
  <c r="R19" i="74" s="1"/>
  <c r="P19" i="74"/>
  <c r="L96" i="26"/>
  <c r="Q54" i="26"/>
  <c r="Q16" i="26" s="1"/>
  <c r="Q100" i="26" s="1"/>
  <c r="J98" i="26"/>
  <c r="J96" i="26" s="1"/>
  <c r="AE136" i="26"/>
  <c r="AC136" i="26"/>
  <c r="U136" i="26"/>
  <c r="H48" i="20"/>
  <c r="H50" i="20" s="1"/>
  <c r="H12" i="20" s="1"/>
  <c r="AA136" i="26"/>
  <c r="S136" i="26"/>
  <c r="R136" i="26"/>
  <c r="P48" i="20"/>
  <c r="I9" i="50"/>
  <c r="M13" i="30"/>
  <c r="M12" i="30" s="1"/>
  <c r="D80" i="55"/>
  <c r="F89" i="55"/>
  <c r="H92" i="55"/>
  <c r="D94" i="55"/>
  <c r="E20" i="25"/>
  <c r="E19" i="25" s="1"/>
  <c r="M20" i="25"/>
  <c r="M19" i="25"/>
  <c r="U20" i="25"/>
  <c r="V13" i="25"/>
  <c r="K19" i="74"/>
  <c r="R54" i="26"/>
  <c r="R16" i="26" s="1"/>
  <c r="R100" i="26" s="1"/>
  <c r="V136" i="26"/>
  <c r="AD136" i="26"/>
  <c r="V45" i="75"/>
  <c r="V37" i="59"/>
  <c r="F20" i="25"/>
  <c r="F19" i="25"/>
  <c r="N20" i="25"/>
  <c r="N19" i="25"/>
  <c r="L19" i="74"/>
  <c r="T19" i="74"/>
  <c r="N50" i="26"/>
  <c r="N99" i="26"/>
  <c r="X48" i="20"/>
  <c r="Q9" i="50"/>
  <c r="W30" i="20"/>
  <c r="Z17" i="30"/>
  <c r="O19" i="25"/>
  <c r="O14" i="75" s="1"/>
  <c r="Y17" i="25"/>
  <c r="Z17" i="25" s="1"/>
  <c r="AA17" i="25" s="1"/>
  <c r="AB17" i="25" s="1"/>
  <c r="AC17" i="25" s="1"/>
  <c r="AD17" i="25" s="1"/>
  <c r="I19" i="25"/>
  <c r="I14" i="75" s="1"/>
  <c r="G14" i="59"/>
  <c r="G14" i="75"/>
  <c r="J13" i="74"/>
  <c r="J20" i="74" s="1"/>
  <c r="J19" i="74" s="1"/>
  <c r="S20" i="74"/>
  <c r="S19" i="74" s="1"/>
  <c r="O51" i="26"/>
  <c r="T16" i="26"/>
  <c r="T100" i="26" s="1"/>
  <c r="D68" i="26"/>
  <c r="E68" i="26" s="1"/>
  <c r="C79" i="26"/>
  <c r="C74" i="26" s="1"/>
  <c r="H28" i="20"/>
  <c r="X30" i="20"/>
  <c r="J15" i="30"/>
  <c r="N45" i="75"/>
  <c r="N46" i="75" s="1"/>
  <c r="N37" i="59"/>
  <c r="S191" i="65"/>
  <c r="AG32" i="59" s="1"/>
  <c r="AF32" i="59"/>
  <c r="K35" i="21"/>
  <c r="P26" i="20"/>
  <c r="X26" i="20"/>
  <c r="L12" i="30"/>
  <c r="H15" i="30"/>
  <c r="K29" i="49"/>
  <c r="F12" i="49"/>
  <c r="F29" i="49" s="1"/>
  <c r="N12" i="49"/>
  <c r="V12" i="49"/>
  <c r="V29" i="49" s="1"/>
  <c r="V30" i="49" s="1"/>
  <c r="P45" i="75"/>
  <c r="P46" i="75" s="1"/>
  <c r="P37" i="59"/>
  <c r="P30" i="49"/>
  <c r="G47" i="49"/>
  <c r="H47" i="49" s="1"/>
  <c r="D27" i="49"/>
  <c r="L27" i="49"/>
  <c r="T45" i="75"/>
  <c r="T46" i="75" s="1"/>
  <c r="T37" i="59"/>
  <c r="T38" i="59" s="1"/>
  <c r="T12" i="49"/>
  <c r="F19" i="49" s="1"/>
  <c r="G17" i="75"/>
  <c r="G17" i="59"/>
  <c r="O17" i="75"/>
  <c r="O17" i="59"/>
  <c r="O18" i="33"/>
  <c r="W17" i="75"/>
  <c r="W17" i="59"/>
  <c r="W18" i="33"/>
  <c r="E45" i="75"/>
  <c r="E46" i="75" s="1"/>
  <c r="E37" i="59"/>
  <c r="E30" i="49"/>
  <c r="M45" i="75"/>
  <c r="M46" i="75" s="1"/>
  <c r="M37" i="59"/>
  <c r="M30" i="49"/>
  <c r="U45" i="75"/>
  <c r="U37" i="59"/>
  <c r="U29" i="49"/>
  <c r="U30" i="49" s="1"/>
  <c r="C18" i="49"/>
  <c r="C19" i="49" s="1"/>
  <c r="E18" i="49"/>
  <c r="E19" i="49" s="1"/>
  <c r="I47" i="49"/>
  <c r="D9" i="50"/>
  <c r="N13" i="30"/>
  <c r="N12" i="30" s="1"/>
  <c r="N29" i="49"/>
  <c r="N30" i="49" s="1"/>
  <c r="D12" i="49"/>
  <c r="D29" i="49" s="1"/>
  <c r="X45" i="75"/>
  <c r="X37" i="59"/>
  <c r="I17" i="75"/>
  <c r="I17" i="59"/>
  <c r="Q17" i="75"/>
  <c r="Q17" i="59"/>
  <c r="F22" i="33"/>
  <c r="Q18" i="33"/>
  <c r="W13" i="33"/>
  <c r="V13" i="33"/>
  <c r="U13" i="33"/>
  <c r="D91" i="59"/>
  <c r="D30" i="59"/>
  <c r="G29" i="49"/>
  <c r="O29" i="49"/>
  <c r="W37" i="59"/>
  <c r="W45" i="75"/>
  <c r="W29" i="49"/>
  <c r="W30" i="49"/>
  <c r="AB12" i="49"/>
  <c r="AC12" i="49" s="1"/>
  <c r="AD12" i="49" s="1"/>
  <c r="AE12" i="49" s="1"/>
  <c r="AF12" i="49" s="1"/>
  <c r="AG12" i="49" s="1"/>
  <c r="F27" i="49"/>
  <c r="AG13" i="33"/>
  <c r="AF13" i="33"/>
  <c r="AE13" i="33"/>
  <c r="AD13" i="33"/>
  <c r="AC13" i="33"/>
  <c r="I12" i="30"/>
  <c r="N30" i="30"/>
  <c r="N29" i="30" s="1"/>
  <c r="H45" i="75"/>
  <c r="H46" i="75" s="1"/>
  <c r="H37" i="59"/>
  <c r="H38" i="59" s="1"/>
  <c r="P18" i="33"/>
  <c r="R38" i="59"/>
  <c r="J12" i="30"/>
  <c r="I45" i="75"/>
  <c r="I37" i="59"/>
  <c r="I38" i="59" s="1"/>
  <c r="Q45" i="75"/>
  <c r="Q46" i="75" s="1"/>
  <c r="Q48" i="75" s="1"/>
  <c r="Q37" i="59"/>
  <c r="Q38" i="59" s="1"/>
  <c r="L12" i="49"/>
  <c r="D18" i="49" s="1"/>
  <c r="D19" i="49" s="1"/>
  <c r="H29" i="49"/>
  <c r="H30" i="49" s="1"/>
  <c r="G22" i="33"/>
  <c r="G27" i="49"/>
  <c r="O27" i="49"/>
  <c r="I29" i="49"/>
  <c r="I30" i="49" s="1"/>
  <c r="Q29" i="49"/>
  <c r="Q30" i="49" s="1"/>
  <c r="K30" i="49"/>
  <c r="E131" i="75"/>
  <c r="E132" i="75" s="1"/>
  <c r="E134" i="75"/>
  <c r="P17" i="75"/>
  <c r="E123" i="59"/>
  <c r="E124" i="59" s="1"/>
  <c r="X17" i="75"/>
  <c r="K17" i="59"/>
  <c r="S17" i="59"/>
  <c r="K38" i="59"/>
  <c r="S38" i="59"/>
  <c r="S40" i="59" s="1"/>
  <c r="N79" i="59"/>
  <c r="V79" i="59"/>
  <c r="R27" i="75"/>
  <c r="S29" i="49"/>
  <c r="S30" i="49" s="1"/>
  <c r="G93" i="59"/>
  <c r="G31" i="59" s="1"/>
  <c r="E38" i="59"/>
  <c r="M38" i="59"/>
  <c r="U77" i="59"/>
  <c r="U26" i="59" s="1"/>
  <c r="M77" i="59"/>
  <c r="M26" i="59" s="1"/>
  <c r="T77" i="59"/>
  <c r="T26" i="59" s="1"/>
  <c r="L77" i="59"/>
  <c r="L26" i="59" s="1"/>
  <c r="L91" i="59" s="1"/>
  <c r="S77" i="59"/>
  <c r="S26" i="59" s="1"/>
  <c r="K77" i="59"/>
  <c r="K26" i="59" s="1"/>
  <c r="K91" i="59" s="1"/>
  <c r="Q77" i="59"/>
  <c r="Q26" i="59" s="1"/>
  <c r="I77" i="59"/>
  <c r="I26" i="59" s="1"/>
  <c r="W77" i="59"/>
  <c r="W26" i="59" s="1"/>
  <c r="O77" i="59"/>
  <c r="O26" i="59" s="1"/>
  <c r="P79" i="59"/>
  <c r="X79" i="59"/>
  <c r="E126" i="59"/>
  <c r="K46" i="75"/>
  <c r="S46" i="75"/>
  <c r="G139" i="48"/>
  <c r="G19" i="48"/>
  <c r="O139" i="48"/>
  <c r="O19" i="48"/>
  <c r="W19" i="48"/>
  <c r="W139" i="48"/>
  <c r="R18" i="33"/>
  <c r="E125" i="59"/>
  <c r="E129" i="59" s="1"/>
  <c r="F17" i="59"/>
  <c r="N17" i="59"/>
  <c r="V17" i="59"/>
  <c r="N38" i="59"/>
  <c r="X77" i="59"/>
  <c r="K79" i="59"/>
  <c r="M171" i="48"/>
  <c r="N171" i="48"/>
  <c r="D131" i="75"/>
  <c r="D132" i="75" s="1"/>
  <c r="D134" i="75"/>
  <c r="L17" i="75"/>
  <c r="D126" i="59"/>
  <c r="D123" i="59"/>
  <c r="D124" i="59" s="1"/>
  <c r="F131" i="75"/>
  <c r="T17" i="75"/>
  <c r="F134" i="75"/>
  <c r="F123" i="59"/>
  <c r="F126" i="59"/>
  <c r="S18" i="33"/>
  <c r="C25" i="33"/>
  <c r="I93" i="59"/>
  <c r="I91" i="59"/>
  <c r="J77" i="59"/>
  <c r="J26" i="59" s="1"/>
  <c r="J79" i="59"/>
  <c r="R77" i="59"/>
  <c r="R26" i="59" s="1"/>
  <c r="R79" i="59"/>
  <c r="Q79" i="59"/>
  <c r="T18" i="33"/>
  <c r="D25" i="33"/>
  <c r="H17" i="59"/>
  <c r="P17" i="59"/>
  <c r="X17" i="59"/>
  <c r="J91" i="59"/>
  <c r="P38" i="59"/>
  <c r="S79" i="59"/>
  <c r="E91" i="59"/>
  <c r="U18" i="33"/>
  <c r="E25" i="33"/>
  <c r="F30" i="59"/>
  <c r="L79" i="59"/>
  <c r="T79" i="59"/>
  <c r="G91" i="59"/>
  <c r="F124" i="59"/>
  <c r="Q27" i="75"/>
  <c r="E38" i="75"/>
  <c r="R85" i="75"/>
  <c r="M19" i="48"/>
  <c r="U19" i="48"/>
  <c r="F132" i="75"/>
  <c r="G130" i="75"/>
  <c r="L87" i="75"/>
  <c r="L85" i="75"/>
  <c r="T87" i="75"/>
  <c r="T85" i="75"/>
  <c r="L137" i="48"/>
  <c r="L19" i="48"/>
  <c r="L26" i="48" s="1"/>
  <c r="T19" i="48"/>
  <c r="I46" i="75"/>
  <c r="J85" i="75"/>
  <c r="H121" i="48"/>
  <c r="G30" i="48"/>
  <c r="G72" i="48" s="1"/>
  <c r="G79" i="48" s="1"/>
  <c r="G102" i="48" s="1"/>
  <c r="H9" i="48"/>
  <c r="H26" i="48" s="1"/>
  <c r="P121" i="48"/>
  <c r="I30" i="48"/>
  <c r="P9" i="48"/>
  <c r="P26" i="48" s="1"/>
  <c r="X121" i="48"/>
  <c r="Y121" i="48" s="1"/>
  <c r="Z121" i="48" s="1"/>
  <c r="AA121" i="48" s="1"/>
  <c r="AB121" i="48" s="1"/>
  <c r="AC121" i="48" s="1"/>
  <c r="AD121" i="48" s="1"/>
  <c r="AE121" i="48" s="1"/>
  <c r="AF121" i="48" s="1"/>
  <c r="AG121" i="48" s="1"/>
  <c r="X9" i="48"/>
  <c r="E133" i="75"/>
  <c r="E137" i="75" s="1"/>
  <c r="R46" i="75"/>
  <c r="P34" i="75"/>
  <c r="P24" i="75"/>
  <c r="K151" i="48"/>
  <c r="K138" i="48"/>
  <c r="I151" i="48"/>
  <c r="J151" i="48"/>
  <c r="F38" i="75"/>
  <c r="G26" i="48"/>
  <c r="O121" i="48"/>
  <c r="O9" i="48"/>
  <c r="W121" i="48"/>
  <c r="W9" i="48"/>
  <c r="W26" i="48" s="1"/>
  <c r="H33" i="48"/>
  <c r="L125" i="48"/>
  <c r="K19" i="48"/>
  <c r="S19" i="48"/>
  <c r="S26" i="48" s="1"/>
  <c r="T138" i="48"/>
  <c r="L153" i="48"/>
  <c r="L140" i="48"/>
  <c r="K85" i="75"/>
  <c r="S85" i="75"/>
  <c r="D99" i="75"/>
  <c r="T26" i="48"/>
  <c r="I121" i="48"/>
  <c r="K123" i="48"/>
  <c r="S123" i="48"/>
  <c r="V171" i="48"/>
  <c r="I123" i="48"/>
  <c r="Q146" i="48"/>
  <c r="G99" i="75"/>
  <c r="L123" i="48"/>
  <c r="H31" i="48"/>
  <c r="I33" i="48"/>
  <c r="H28" i="75"/>
  <c r="K121" i="48"/>
  <c r="H138" i="48"/>
  <c r="Z138" i="48"/>
  <c r="Y23" i="48"/>
  <c r="I28" i="75"/>
  <c r="N85" i="75"/>
  <c r="V85" i="75"/>
  <c r="W105" i="75"/>
  <c r="K9" i="48"/>
  <c r="K26" i="48" s="1"/>
  <c r="F81" i="48"/>
  <c r="J104" i="48" s="1"/>
  <c r="K104" i="48" s="1"/>
  <c r="L104" i="48" s="1"/>
  <c r="F96" i="48"/>
  <c r="F104" i="48" s="1"/>
  <c r="M121" i="48"/>
  <c r="M9" i="48"/>
  <c r="M26" i="48" s="1"/>
  <c r="U121" i="48"/>
  <c r="U9" i="48"/>
  <c r="H124" i="48"/>
  <c r="G32" i="48"/>
  <c r="G74" i="48" s="1"/>
  <c r="G81" i="48" s="1"/>
  <c r="P124" i="48"/>
  <c r="I32" i="48"/>
  <c r="X124" i="48"/>
  <c r="Y124" i="48" s="1"/>
  <c r="Z124" i="48" s="1"/>
  <c r="AA124" i="48" s="1"/>
  <c r="AB124" i="48" s="1"/>
  <c r="AC124" i="48" s="1"/>
  <c r="AD124" i="48" s="1"/>
  <c r="AE124" i="48" s="1"/>
  <c r="AF124" i="48" s="1"/>
  <c r="AG124" i="48" s="1"/>
  <c r="I19" i="48"/>
  <c r="I26" i="48" s="1"/>
  <c r="I137" i="48"/>
  <c r="Q137" i="48"/>
  <c r="Q19" i="48"/>
  <c r="Q26" i="48" s="1"/>
  <c r="F139" i="48"/>
  <c r="F19" i="48"/>
  <c r="F26" i="48" s="1"/>
  <c r="N139" i="48"/>
  <c r="N19" i="48"/>
  <c r="V139" i="48"/>
  <c r="V19" i="48"/>
  <c r="AB24" i="48"/>
  <c r="AA24" i="48"/>
  <c r="Z24" i="48"/>
  <c r="AG24" i="48"/>
  <c r="Y24" i="48"/>
  <c r="AF24" i="48"/>
  <c r="AE24" i="48"/>
  <c r="AD24" i="48"/>
  <c r="AC24" i="48"/>
  <c r="J125" i="48"/>
  <c r="R125" i="48"/>
  <c r="M139" i="48"/>
  <c r="U139" i="48"/>
  <c r="X25" i="48"/>
  <c r="C22" i="35" s="1"/>
  <c r="D24" i="55" s="1"/>
  <c r="Y140" i="48"/>
  <c r="L171" i="48"/>
  <c r="T171" i="48"/>
  <c r="AB171" i="48"/>
  <c r="O146" i="48"/>
  <c r="N152" i="48"/>
  <c r="S153" i="48"/>
  <c r="T159" i="48"/>
  <c r="U159" i="48" s="1"/>
  <c r="V159" i="48" s="1"/>
  <c r="W159" i="48" s="1"/>
  <c r="X159" i="48" s="1"/>
  <c r="Y159" i="48" s="1"/>
  <c r="AA51" i="70"/>
  <c r="S26" i="38"/>
  <c r="M26" i="38" s="1"/>
  <c r="M25" i="38"/>
  <c r="O25" i="38" s="1"/>
  <c r="P48" i="38"/>
  <c r="J67" i="38"/>
  <c r="N56" i="38"/>
  <c r="M123" i="48"/>
  <c r="M137" i="48"/>
  <c r="I138" i="48"/>
  <c r="J140" i="48"/>
  <c r="R140" i="48"/>
  <c r="G104" i="48"/>
  <c r="L128" i="48"/>
  <c r="L146" i="48" s="1"/>
  <c r="L133" i="48"/>
  <c r="L151" i="48" s="1"/>
  <c r="T128" i="48"/>
  <c r="T137" i="48" s="1"/>
  <c r="T133" i="48"/>
  <c r="T123" i="48" s="1"/>
  <c r="N9" i="48"/>
  <c r="V9" i="48"/>
  <c r="V26" i="48" s="1"/>
  <c r="J19" i="48"/>
  <c r="J26" i="48" s="1"/>
  <c r="R19" i="48"/>
  <c r="R26" i="48" s="1"/>
  <c r="F137" i="48"/>
  <c r="F102" i="48"/>
  <c r="M128" i="48"/>
  <c r="M133" i="48"/>
  <c r="U128" i="48"/>
  <c r="U133" i="48"/>
  <c r="U123" i="48" s="1"/>
  <c r="P151" i="48"/>
  <c r="H32" i="48"/>
  <c r="I104" i="48"/>
  <c r="G103" i="48"/>
  <c r="G146" i="48"/>
  <c r="F128" i="48"/>
  <c r="F133" i="48"/>
  <c r="F138" i="48" s="1"/>
  <c r="N128" i="48"/>
  <c r="N146" i="48" s="1"/>
  <c r="N133" i="48"/>
  <c r="N151" i="48" s="1"/>
  <c r="N147" i="48"/>
  <c r="V128" i="48"/>
  <c r="V137" i="48" s="1"/>
  <c r="V133" i="48"/>
  <c r="V138" i="48" s="1"/>
  <c r="K148" i="48"/>
  <c r="K128" i="48"/>
  <c r="K137" i="48" s="1"/>
  <c r="S148" i="48"/>
  <c r="S128" i="48"/>
  <c r="S137" i="48" s="1"/>
  <c r="H30" i="48"/>
  <c r="G31" i="48"/>
  <c r="G73" i="48" s="1"/>
  <c r="G80" i="48" s="1"/>
  <c r="I31" i="48"/>
  <c r="G33" i="48"/>
  <c r="G75" i="48" s="1"/>
  <c r="G82" i="48" s="1"/>
  <c r="G105" i="48" s="1"/>
  <c r="H125" i="48"/>
  <c r="G151" i="48"/>
  <c r="O151" i="48"/>
  <c r="L148" i="48"/>
  <c r="AC18" i="70"/>
  <c r="AC26" i="70" s="1"/>
  <c r="G5" i="71" s="1"/>
  <c r="AC51" i="70"/>
  <c r="S31" i="38"/>
  <c r="O30" i="38"/>
  <c r="Q30" i="38" s="1"/>
  <c r="R38" i="38"/>
  <c r="L56" i="38"/>
  <c r="N48" i="38"/>
  <c r="E96" i="48"/>
  <c r="E104" i="48" s="1"/>
  <c r="J128" i="48"/>
  <c r="R128" i="48"/>
  <c r="N150" i="48"/>
  <c r="M153" i="48"/>
  <c r="W161" i="48"/>
  <c r="X161" i="48" s="1"/>
  <c r="Y161" i="48" s="1"/>
  <c r="Z161" i="48" s="1"/>
  <c r="AA161" i="48" s="1"/>
  <c r="AB161" i="48" s="1"/>
  <c r="AC161" i="48" s="1"/>
  <c r="AF50" i="70"/>
  <c r="AF16" i="70"/>
  <c r="AF25" i="70" s="1"/>
  <c r="J4" i="71" s="1"/>
  <c r="G147" i="48"/>
  <c r="O147" i="48"/>
  <c r="N22" i="38"/>
  <c r="P150" i="48"/>
  <c r="J152" i="48"/>
  <c r="R152" i="48"/>
  <c r="G153" i="48"/>
  <c r="O153" i="48"/>
  <c r="Z18" i="70"/>
  <c r="Z26" i="70" s="1"/>
  <c r="D5" i="71" s="1"/>
  <c r="T41" i="38"/>
  <c r="P40" i="38"/>
  <c r="R40" i="38" s="1"/>
  <c r="C13" i="76"/>
  <c r="T12" i="70"/>
  <c r="T23" i="70" s="1"/>
  <c r="J171" i="48"/>
  <c r="R171" i="48"/>
  <c r="Z171" i="48"/>
  <c r="L152" i="48"/>
  <c r="I153" i="48"/>
  <c r="Q153" i="48"/>
  <c r="U163" i="48"/>
  <c r="V163" i="48" s="1"/>
  <c r="W163" i="48" s="1"/>
  <c r="X163" i="48" s="1"/>
  <c r="Y163" i="48" s="1"/>
  <c r="Z163" i="48" s="1"/>
  <c r="AA163" i="48" s="1"/>
  <c r="AB163" i="48" s="1"/>
  <c r="AC163" i="48" s="1"/>
  <c r="K69" i="38"/>
  <c r="K66" i="38"/>
  <c r="K15" i="40"/>
  <c r="S15" i="40"/>
  <c r="M14" i="40"/>
  <c r="M17" i="40" s="1"/>
  <c r="I30" i="76"/>
  <c r="J30" i="76" s="1"/>
  <c r="H5" i="21"/>
  <c r="G5" i="21"/>
  <c r="F5" i="21"/>
  <c r="I5" i="21"/>
  <c r="E7" i="5"/>
  <c r="E16" i="5" s="1"/>
  <c r="M12" i="21"/>
  <c r="L12" i="21"/>
  <c r="J12" i="21"/>
  <c r="K12" i="21"/>
  <c r="N11" i="38"/>
  <c r="N13" i="38"/>
  <c r="M22" i="38"/>
  <c r="M24" i="38"/>
  <c r="O56" i="38"/>
  <c r="L15" i="40"/>
  <c r="T15" i="40"/>
  <c r="N14" i="40"/>
  <c r="N17" i="40" s="1"/>
  <c r="B16" i="5"/>
  <c r="F7" i="5"/>
  <c r="P39" i="21"/>
  <c r="O39" i="21"/>
  <c r="D3" i="21"/>
  <c r="M20" i="38"/>
  <c r="N24" i="38"/>
  <c r="M15" i="40"/>
  <c r="J16" i="40"/>
  <c r="O17" i="40"/>
  <c r="O14" i="40"/>
  <c r="O16" i="40" s="1"/>
  <c r="J33" i="76"/>
  <c r="I33" i="76"/>
  <c r="C16" i="5"/>
  <c r="F5" i="5"/>
  <c r="F7" i="21"/>
  <c r="D77" i="21" s="1"/>
  <c r="I7" i="21"/>
  <c r="H7" i="21"/>
  <c r="G7" i="21"/>
  <c r="K16" i="5"/>
  <c r="L12" i="38"/>
  <c r="N12" i="38" s="1"/>
  <c r="L14" i="38"/>
  <c r="N14" i="38" s="1"/>
  <c r="L66" i="38"/>
  <c r="L71" i="38" s="1"/>
  <c r="L69" i="38"/>
  <c r="N15" i="40"/>
  <c r="J28" i="76"/>
  <c r="J31" i="76"/>
  <c r="I31" i="76"/>
  <c r="B48" i="76"/>
  <c r="D16" i="5"/>
  <c r="U9" i="21"/>
  <c r="T9" i="21"/>
  <c r="AD58" i="26" s="1"/>
  <c r="S9" i="21"/>
  <c r="R9" i="21"/>
  <c r="F11" i="5"/>
  <c r="E81" i="21"/>
  <c r="G81" i="21"/>
  <c r="M12" i="38"/>
  <c r="M14" i="38"/>
  <c r="N26" i="38"/>
  <c r="O26" i="38" s="1"/>
  <c r="P39" i="38"/>
  <c r="R39" i="38" s="1"/>
  <c r="I65" i="38"/>
  <c r="I70" i="38" s="1"/>
  <c r="I67" i="38"/>
  <c r="O15" i="40"/>
  <c r="L16" i="40"/>
  <c r="T16" i="40"/>
  <c r="Q14" i="40"/>
  <c r="Q15" i="40" s="1"/>
  <c r="J36" i="76"/>
  <c r="I36" i="76"/>
  <c r="G42" i="76"/>
  <c r="H41" i="76"/>
  <c r="C4" i="21"/>
  <c r="D21" i="21"/>
  <c r="K56" i="38"/>
  <c r="J14" i="40"/>
  <c r="R14" i="40"/>
  <c r="I4" i="21"/>
  <c r="H4" i="21"/>
  <c r="G4" i="21"/>
  <c r="F4" i="21"/>
  <c r="P5" i="21"/>
  <c r="O5" i="21"/>
  <c r="N5" i="21"/>
  <c r="Q5" i="21"/>
  <c r="U4" i="21"/>
  <c r="AE25" i="59" s="1"/>
  <c r="AE30" i="59" s="1"/>
  <c r="J16" i="35" s="1"/>
  <c r="T4" i="21"/>
  <c r="AD25" i="59" s="1"/>
  <c r="AD30" i="59" s="1"/>
  <c r="I16" i="35" s="1"/>
  <c r="S4" i="21"/>
  <c r="R4" i="21"/>
  <c r="U12" i="21"/>
  <c r="T12" i="21"/>
  <c r="S12" i="21"/>
  <c r="R12" i="21"/>
  <c r="G82" i="21" s="1"/>
  <c r="M16" i="38"/>
  <c r="M46" i="38" s="1"/>
  <c r="M47" i="38" s="1"/>
  <c r="M21" i="38"/>
  <c r="N21" i="38" s="1"/>
  <c r="N16" i="40"/>
  <c r="K14" i="40"/>
  <c r="K16" i="40" s="1"/>
  <c r="K17" i="40"/>
  <c r="S14" i="40"/>
  <c r="S16" i="40" s="1"/>
  <c r="J27" i="76"/>
  <c r="I29" i="76"/>
  <c r="J29" i="76" s="1"/>
  <c r="J32" i="76"/>
  <c r="L32" i="76" s="1"/>
  <c r="I32" i="76"/>
  <c r="M9" i="21"/>
  <c r="L9" i="21"/>
  <c r="K9" i="21"/>
  <c r="T5" i="21"/>
  <c r="AD24" i="59" s="1"/>
  <c r="S5" i="21"/>
  <c r="R5" i="21"/>
  <c r="U5" i="21"/>
  <c r="AE24" i="59" s="1"/>
  <c r="R17" i="6"/>
  <c r="I27" i="76"/>
  <c r="N7" i="21"/>
  <c r="Q7" i="21"/>
  <c r="P7" i="21"/>
  <c r="O7" i="21"/>
  <c r="H16" i="5"/>
  <c r="S17" i="40"/>
  <c r="I18" i="21"/>
  <c r="I23" i="21"/>
  <c r="S41" i="30" s="1"/>
  <c r="S24" i="30" s="1"/>
  <c r="S13" i="30" s="1"/>
  <c r="S12" i="30" s="1"/>
  <c r="I20" i="21"/>
  <c r="S38" i="30" s="1"/>
  <c r="I6" i="21"/>
  <c r="I24" i="21" s="1"/>
  <c r="G18" i="21"/>
  <c r="H24" i="21"/>
  <c r="G23" i="21"/>
  <c r="Q41" i="30" s="1"/>
  <c r="Q24" i="30" s="1"/>
  <c r="Q13" i="30" s="1"/>
  <c r="Q12" i="30" s="1"/>
  <c r="G6" i="21"/>
  <c r="G19" i="21" s="1"/>
  <c r="Q37" i="30" s="1"/>
  <c r="F6" i="21"/>
  <c r="F19" i="21" s="1"/>
  <c r="P37" i="30" s="1"/>
  <c r="F24" i="21"/>
  <c r="I19" i="21"/>
  <c r="S37" i="30" s="1"/>
  <c r="L10" i="21"/>
  <c r="V60" i="26" s="1"/>
  <c r="V17" i="26" s="1"/>
  <c r="K10" i="21"/>
  <c r="U60" i="26" s="1"/>
  <c r="U17" i="26" s="1"/>
  <c r="J10" i="21"/>
  <c r="T35" i="21" s="1"/>
  <c r="Q6" i="21"/>
  <c r="AA45" i="30" s="1"/>
  <c r="F7" i="35" s="1"/>
  <c r="G9" i="55" s="1"/>
  <c r="Q24" i="21"/>
  <c r="P23" i="21"/>
  <c r="P24" i="21"/>
  <c r="O6" i="21"/>
  <c r="Y45" i="30" s="1"/>
  <c r="D7" i="35" s="1"/>
  <c r="E9" i="55" s="1"/>
  <c r="N6" i="21"/>
  <c r="N24" i="21"/>
  <c r="T10" i="21"/>
  <c r="AD60" i="26" s="1"/>
  <c r="AD17" i="26" s="1"/>
  <c r="S10" i="21"/>
  <c r="AC60" i="26" s="1"/>
  <c r="AC17" i="26" s="1"/>
  <c r="R10" i="21"/>
  <c r="T3" i="21"/>
  <c r="S17" i="6"/>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I16" i="5"/>
  <c r="N3" i="21"/>
  <c r="V3" i="21"/>
  <c r="P14" i="40"/>
  <c r="P15" i="40" s="1"/>
  <c r="D23" i="21"/>
  <c r="N41" i="30" s="1"/>
  <c r="D20" i="21"/>
  <c r="N38" i="30" s="1"/>
  <c r="D24" i="21"/>
  <c r="N42" i="30" s="1"/>
  <c r="C6" i="21"/>
  <c r="C18" i="21" s="1"/>
  <c r="D19" i="21"/>
  <c r="N37" i="30" s="1"/>
  <c r="D18" i="21"/>
  <c r="I9" i="21"/>
  <c r="H9" i="21"/>
  <c r="G9" i="21"/>
  <c r="D79" i="21" s="1"/>
  <c r="Q9" i="21"/>
  <c r="P9" i="21"/>
  <c r="O9" i="21"/>
  <c r="F79" i="21" s="1"/>
  <c r="J16" i="5"/>
  <c r="D81" i="21"/>
  <c r="F81" i="21"/>
  <c r="I38" i="76"/>
  <c r="J38" i="76" s="1"/>
  <c r="I39" i="76"/>
  <c r="J39" i="76" s="1"/>
  <c r="H40" i="76"/>
  <c r="H10" i="21"/>
  <c r="R60" i="26" s="1"/>
  <c r="R17" i="26" s="1"/>
  <c r="G10" i="21"/>
  <c r="Q60" i="26" s="1"/>
  <c r="Q17" i="26" s="1"/>
  <c r="F10" i="21"/>
  <c r="U31" i="21" s="1"/>
  <c r="K23" i="21"/>
  <c r="U41" i="30" s="1"/>
  <c r="K20" i="21"/>
  <c r="U38" i="30" s="1"/>
  <c r="AD75" i="30" s="1"/>
  <c r="J18" i="21"/>
  <c r="K6" i="21"/>
  <c r="K24" i="21" s="1"/>
  <c r="J6" i="21"/>
  <c r="J19" i="21" s="1"/>
  <c r="T37" i="30" s="1"/>
  <c r="J24" i="21"/>
  <c r="M18" i="21"/>
  <c r="M23" i="21"/>
  <c r="W41" i="30" s="1"/>
  <c r="W24" i="30" s="1"/>
  <c r="M6" i="21"/>
  <c r="P10" i="21"/>
  <c r="Z60" i="26" s="1"/>
  <c r="Z17" i="26" s="1"/>
  <c r="O10" i="21"/>
  <c r="Y60" i="26" s="1"/>
  <c r="Y17" i="26" s="1"/>
  <c r="N10" i="21"/>
  <c r="S39" i="21" s="1"/>
  <c r="S6" i="21"/>
  <c r="AC45" i="30" s="1"/>
  <c r="H7" i="35" s="1"/>
  <c r="I9" i="55" s="1"/>
  <c r="R6" i="21"/>
  <c r="U6" i="21"/>
  <c r="AE45" i="30" s="1"/>
  <c r="J7" i="35" s="1"/>
  <c r="P3" i="21"/>
  <c r="I37" i="76"/>
  <c r="J37" i="76" s="1"/>
  <c r="L37" i="76" s="1"/>
  <c r="F12" i="21"/>
  <c r="I12" i="21"/>
  <c r="H12" i="21"/>
  <c r="M7" i="21"/>
  <c r="L7" i="21"/>
  <c r="J7" i="21"/>
  <c r="E77" i="21" s="1"/>
  <c r="O12" i="21"/>
  <c r="N12" i="21"/>
  <c r="Q12" i="21"/>
  <c r="P12" i="21"/>
  <c r="U7" i="21"/>
  <c r="T7" i="21"/>
  <c r="R7" i="21"/>
  <c r="L16" i="5"/>
  <c r="I3" i="21"/>
  <c r="Q3" i="21"/>
  <c r="V16" i="6"/>
  <c r="D9" i="21"/>
  <c r="D4" i="21"/>
  <c r="D12" i="21"/>
  <c r="D7" i="21"/>
  <c r="D10" i="21"/>
  <c r="N60" i="26" s="1"/>
  <c r="H6" i="21"/>
  <c r="S7" i="21"/>
  <c r="G12" i="21"/>
  <c r="D8" i="21"/>
  <c r="C78" i="21" s="1"/>
  <c r="I13" i="21"/>
  <c r="I14" i="21" s="1"/>
  <c r="H13" i="21"/>
  <c r="H14" i="21" s="1"/>
  <c r="G13" i="21"/>
  <c r="G14" i="21" s="1"/>
  <c r="F13" i="21"/>
  <c r="E8" i="5"/>
  <c r="J3" i="21"/>
  <c r="R3" i="21"/>
  <c r="Q17" i="6"/>
  <c r="E1" i="21"/>
  <c r="E3" i="21" s="1"/>
  <c r="W3" i="21" s="1"/>
  <c r="L6" i="21"/>
  <c r="L24" i="21" s="1"/>
  <c r="I10" i="21"/>
  <c r="S60" i="26" s="1"/>
  <c r="S17" i="26" s="1"/>
  <c r="H96" i="55" l="1"/>
  <c r="Y12" i="70"/>
  <c r="Y23" i="70" s="1"/>
  <c r="C2" i="71" s="1"/>
  <c r="E28" i="55"/>
  <c r="H93" i="55"/>
  <c r="H127" i="55"/>
  <c r="F93" i="55"/>
  <c r="F126" i="55"/>
  <c r="AD50" i="70"/>
  <c r="AD16" i="70"/>
  <c r="AD25" i="70" s="1"/>
  <c r="H4" i="71" s="1"/>
  <c r="I124" i="55"/>
  <c r="I92" i="55"/>
  <c r="F95" i="55"/>
  <c r="AA18" i="70"/>
  <c r="AA26" i="70" s="1"/>
  <c r="E5" i="71" s="1"/>
  <c r="G126" i="55"/>
  <c r="G94" i="55"/>
  <c r="AE51" i="70"/>
  <c r="AE20" i="70" s="1"/>
  <c r="AE27" i="70" s="1"/>
  <c r="I6" i="71" s="1"/>
  <c r="E125" i="55"/>
  <c r="E93" i="55"/>
  <c r="G95" i="55"/>
  <c r="G127" i="55"/>
  <c r="Z51" i="70"/>
  <c r="Z20" i="70" s="1"/>
  <c r="Z27" i="70" s="1"/>
  <c r="D6" i="71" s="1"/>
  <c r="C10" i="35"/>
  <c r="D12" i="55" s="1"/>
  <c r="X30" i="49"/>
  <c r="Q40" i="59"/>
  <c r="R48" i="75"/>
  <c r="G18" i="49"/>
  <c r="G19" i="49" s="1"/>
  <c r="N40" i="59"/>
  <c r="E20" i="49"/>
  <c r="J40" i="59"/>
  <c r="J48" i="75"/>
  <c r="J18" i="49"/>
  <c r="J19" i="49" s="1"/>
  <c r="D90" i="59"/>
  <c r="D89" i="59" s="1"/>
  <c r="D92" i="59" s="1"/>
  <c r="D101" i="59" s="1"/>
  <c r="D29" i="59" s="1"/>
  <c r="D93" i="59"/>
  <c r="D31" i="59" s="1"/>
  <c r="O98" i="75"/>
  <c r="O27" i="75"/>
  <c r="J98" i="75"/>
  <c r="J97" i="75" s="1"/>
  <c r="J100" i="75" s="1"/>
  <c r="J27" i="75"/>
  <c r="M36" i="30"/>
  <c r="K39" i="76"/>
  <c r="M39" i="76" s="1"/>
  <c r="L39" i="76"/>
  <c r="L29" i="76"/>
  <c r="K29" i="76"/>
  <c r="S98" i="75"/>
  <c r="S27" i="75"/>
  <c r="K38" i="76"/>
  <c r="M38" i="76" s="1"/>
  <c r="L38" i="76"/>
  <c r="L30" i="76"/>
  <c r="K30" i="76"/>
  <c r="I98" i="75"/>
  <c r="I97" i="75" s="1"/>
  <c r="I100" i="75" s="1"/>
  <c r="I27" i="75"/>
  <c r="I26" i="75" s="1"/>
  <c r="I29" i="75" s="1"/>
  <c r="I101" i="75"/>
  <c r="N36" i="30"/>
  <c r="H31" i="21"/>
  <c r="D45" i="75"/>
  <c r="D46" i="75" s="1"/>
  <c r="E48" i="75" s="1"/>
  <c r="D37" i="59"/>
  <c r="D38" i="59" s="1"/>
  <c r="D30" i="49"/>
  <c r="E128" i="55"/>
  <c r="E96" i="55"/>
  <c r="S29" i="21"/>
  <c r="K29" i="21"/>
  <c r="R29" i="21"/>
  <c r="J29" i="21"/>
  <c r="Q29" i="21"/>
  <c r="I29" i="21"/>
  <c r="P29" i="21"/>
  <c r="H29" i="21"/>
  <c r="O29" i="21"/>
  <c r="G29" i="21"/>
  <c r="V29" i="21"/>
  <c r="N29" i="21"/>
  <c r="F29" i="21"/>
  <c r="U29" i="21"/>
  <c r="M29" i="21"/>
  <c r="E29" i="21"/>
  <c r="T29" i="21"/>
  <c r="L29" i="21"/>
  <c r="D29" i="21"/>
  <c r="D28" i="21" s="1"/>
  <c r="N58" i="26"/>
  <c r="S33" i="75"/>
  <c r="S38" i="75" s="1"/>
  <c r="S23" i="75"/>
  <c r="S25" i="59"/>
  <c r="S30" i="59" s="1"/>
  <c r="L5" i="50" s="1"/>
  <c r="AF21" i="48"/>
  <c r="AE21" i="48"/>
  <c r="AD21" i="48"/>
  <c r="AC21" i="48"/>
  <c r="Z21" i="48"/>
  <c r="Y21" i="48"/>
  <c r="Y19" i="48" s="1"/>
  <c r="D20" i="35" s="1"/>
  <c r="E22" i="55" s="1"/>
  <c r="AB21" i="48"/>
  <c r="AG21" i="48"/>
  <c r="AA21" i="48"/>
  <c r="X104" i="75"/>
  <c r="X106" i="75" s="1"/>
  <c r="X105" i="75" s="1"/>
  <c r="S34" i="75"/>
  <c r="S24" i="75"/>
  <c r="F20" i="49"/>
  <c r="S35" i="21"/>
  <c r="S15" i="30"/>
  <c r="G98" i="75"/>
  <c r="G97" i="75" s="1"/>
  <c r="G100" i="75" s="1"/>
  <c r="G27" i="75"/>
  <c r="G26" i="75" s="1"/>
  <c r="G29" i="75" s="1"/>
  <c r="N14" i="75"/>
  <c r="N14" i="59"/>
  <c r="N90" i="59" s="1"/>
  <c r="R48" i="20"/>
  <c r="K9" i="50"/>
  <c r="D14" i="75"/>
  <c r="AA96" i="59"/>
  <c r="AA98" i="59" s="1"/>
  <c r="AA97" i="59"/>
  <c r="R14" i="21"/>
  <c r="G83" i="21"/>
  <c r="I31" i="21"/>
  <c r="L31" i="76"/>
  <c r="P16" i="40"/>
  <c r="AC20" i="70"/>
  <c r="AC27" i="70" s="1"/>
  <c r="G6" i="71" s="1"/>
  <c r="I32" i="55"/>
  <c r="U138" i="48"/>
  <c r="I31" i="59"/>
  <c r="I33" i="59" s="1"/>
  <c r="W36" i="30"/>
  <c r="Q31" i="21"/>
  <c r="L28" i="76"/>
  <c r="K28" i="76"/>
  <c r="U41" i="21"/>
  <c r="T41" i="21"/>
  <c r="S41" i="21"/>
  <c r="R41" i="21"/>
  <c r="Q41" i="21"/>
  <c r="P41" i="21"/>
  <c r="V41" i="21"/>
  <c r="Z58" i="26"/>
  <c r="C23" i="21"/>
  <c r="M41" i="30" s="1"/>
  <c r="F83" i="21"/>
  <c r="N14" i="21"/>
  <c r="D15" i="21"/>
  <c r="N59" i="26"/>
  <c r="F76" i="21"/>
  <c r="X45" i="30"/>
  <c r="G73" i="55"/>
  <c r="G105" i="55"/>
  <c r="F20" i="21"/>
  <c r="P38" i="30" s="1"/>
  <c r="Q36" i="30"/>
  <c r="S36" i="30"/>
  <c r="AC32" i="75"/>
  <c r="AC24" i="59"/>
  <c r="K27" i="76"/>
  <c r="AA32" i="75"/>
  <c r="AA24" i="59"/>
  <c r="J31" i="21"/>
  <c r="Q17" i="40"/>
  <c r="P17" i="40"/>
  <c r="D13" i="76"/>
  <c r="C14" i="76"/>
  <c r="T121" i="48"/>
  <c r="V121" i="48"/>
  <c r="K34" i="75"/>
  <c r="K99" i="75" s="1"/>
  <c r="K24" i="75"/>
  <c r="K28" i="75" s="1"/>
  <c r="L138" i="48"/>
  <c r="X26" i="48"/>
  <c r="C19" i="35"/>
  <c r="D21" i="55" s="1"/>
  <c r="T34" i="75"/>
  <c r="T24" i="75"/>
  <c r="Y77" i="59"/>
  <c r="X26" i="59"/>
  <c r="T29" i="49"/>
  <c r="T30" i="49" s="1"/>
  <c r="O35" i="21"/>
  <c r="L35" i="21"/>
  <c r="M16" i="40"/>
  <c r="G90" i="59"/>
  <c r="G89" i="59" s="1"/>
  <c r="G92" i="59" s="1"/>
  <c r="G101" i="59" s="1"/>
  <c r="G29" i="59" s="1"/>
  <c r="G33" i="59" s="1"/>
  <c r="M14" i="75"/>
  <c r="M14" i="59"/>
  <c r="M90" i="59" s="1"/>
  <c r="S48" i="20"/>
  <c r="L9" i="50"/>
  <c r="AB48" i="20"/>
  <c r="G3" i="35"/>
  <c r="H5" i="55" s="1"/>
  <c r="Z48" i="20"/>
  <c r="E3" i="35"/>
  <c r="F5" i="55" s="1"/>
  <c r="M50" i="26"/>
  <c r="AH53" i="26"/>
  <c r="Y13" i="25"/>
  <c r="S17" i="38"/>
  <c r="L16" i="38"/>
  <c r="N16" i="38" s="1"/>
  <c r="D80" i="21"/>
  <c r="P60" i="26"/>
  <c r="P17" i="26" s="1"/>
  <c r="H38" i="48"/>
  <c r="H75" i="48"/>
  <c r="H82" i="48" s="1"/>
  <c r="Q15" i="30"/>
  <c r="Q4" i="21"/>
  <c r="P4" i="21"/>
  <c r="O4" i="21"/>
  <c r="N4" i="21"/>
  <c r="G75" i="21"/>
  <c r="AB32" i="75"/>
  <c r="AB24" i="59"/>
  <c r="R32" i="75"/>
  <c r="R24" i="59"/>
  <c r="AD78" i="30"/>
  <c r="U24" i="30"/>
  <c r="AD61" i="30" s="1"/>
  <c r="G15" i="21"/>
  <c r="Q59" i="26"/>
  <c r="H21" i="21"/>
  <c r="R45" i="30"/>
  <c r="F82" i="21"/>
  <c r="E76" i="21"/>
  <c r="J21" i="21"/>
  <c r="T45" i="30"/>
  <c r="I40" i="76"/>
  <c r="J40" i="76" s="1"/>
  <c r="V42" i="21"/>
  <c r="U42" i="21"/>
  <c r="T42" i="21"/>
  <c r="S42" i="21"/>
  <c r="R42" i="21"/>
  <c r="Q42" i="21"/>
  <c r="AA58" i="26"/>
  <c r="E15" i="21"/>
  <c r="O59" i="26"/>
  <c r="N23" i="21"/>
  <c r="X41" i="30" s="1"/>
  <c r="X24" i="30" s="1"/>
  <c r="Q23" i="21"/>
  <c r="F23" i="21"/>
  <c r="P41" i="30" s="1"/>
  <c r="P24" i="30" s="1"/>
  <c r="H20" i="21"/>
  <c r="R38" i="30" s="1"/>
  <c r="I15" i="35"/>
  <c r="F75" i="21"/>
  <c r="X32" i="75"/>
  <c r="X24" i="59"/>
  <c r="R15" i="40"/>
  <c r="R17" i="40"/>
  <c r="R31" i="21"/>
  <c r="F31" i="21"/>
  <c r="M33" i="75"/>
  <c r="M38" i="75" s="1"/>
  <c r="M23" i="75"/>
  <c r="M28" i="75" s="1"/>
  <c r="M25" i="59"/>
  <c r="M30" i="59" s="1"/>
  <c r="F5" i="50" s="1"/>
  <c r="Q39" i="21"/>
  <c r="K19" i="21"/>
  <c r="U37" i="30" s="1"/>
  <c r="K73" i="38"/>
  <c r="K71" i="38"/>
  <c r="L121" i="48"/>
  <c r="M151" i="48"/>
  <c r="V123" i="48"/>
  <c r="N121" i="48"/>
  <c r="H102" i="48" s="1"/>
  <c r="I102" i="48" s="1"/>
  <c r="J102" i="48" s="1"/>
  <c r="K102" i="48" s="1"/>
  <c r="L102" i="48" s="1"/>
  <c r="I74" i="48"/>
  <c r="I81" i="48" s="1"/>
  <c r="J32" i="48"/>
  <c r="I37" i="48"/>
  <c r="O26" i="48"/>
  <c r="J34" i="75"/>
  <c r="J99" i="75" s="1"/>
  <c r="J24" i="75"/>
  <c r="J28" i="75" s="1"/>
  <c r="M138" i="48"/>
  <c r="K40" i="59"/>
  <c r="O45" i="75"/>
  <c r="O46" i="75" s="1"/>
  <c r="O48" i="75" s="1"/>
  <c r="O37" i="59"/>
  <c r="O38" i="59" s="1"/>
  <c r="O40" i="59" s="1"/>
  <c r="O30" i="49"/>
  <c r="R40" i="59"/>
  <c r="H18" i="49"/>
  <c r="H19" i="49" s="1"/>
  <c r="H20" i="49" s="1"/>
  <c r="P35" i="21"/>
  <c r="F14" i="75"/>
  <c r="F14" i="59"/>
  <c r="AA48" i="20"/>
  <c r="F3" i="35"/>
  <c r="G5" i="55" s="1"/>
  <c r="AC12" i="30"/>
  <c r="T48" i="20"/>
  <c r="M9" i="50"/>
  <c r="H14" i="75"/>
  <c r="J14" i="59"/>
  <c r="J90" i="59" s="1"/>
  <c r="J89" i="59" s="1"/>
  <c r="J92" i="59" s="1"/>
  <c r="E101" i="55"/>
  <c r="E69" i="55"/>
  <c r="AC11" i="20"/>
  <c r="G4" i="35"/>
  <c r="H6" i="55" s="1"/>
  <c r="J15" i="35"/>
  <c r="T31" i="21"/>
  <c r="Q32" i="75"/>
  <c r="Q24" i="59"/>
  <c r="D120" i="55"/>
  <c r="D88" i="55"/>
  <c r="F21" i="21"/>
  <c r="D76" i="21"/>
  <c r="P45" i="30"/>
  <c r="C5" i="21"/>
  <c r="F16" i="5"/>
  <c r="AF18" i="70"/>
  <c r="AF26" i="70" s="1"/>
  <c r="J5" i="71" s="1"/>
  <c r="AF51" i="70"/>
  <c r="AF20" i="70" s="1"/>
  <c r="AF27" i="70" s="1"/>
  <c r="J6" i="71" s="1"/>
  <c r="L21" i="21"/>
  <c r="V45" i="30"/>
  <c r="H15" i="21"/>
  <c r="R59" i="26"/>
  <c r="D5" i="21"/>
  <c r="J20" i="21"/>
  <c r="T38" i="30" s="1"/>
  <c r="K18" i="21"/>
  <c r="N19" i="21"/>
  <c r="C19" i="21"/>
  <c r="M37" i="30" s="1"/>
  <c r="K15" i="21"/>
  <c r="U59" i="26"/>
  <c r="O15" i="21"/>
  <c r="Y59" i="26"/>
  <c r="V51" i="21"/>
  <c r="V50" i="21"/>
  <c r="O24" i="21"/>
  <c r="E80" i="21"/>
  <c r="T60" i="26"/>
  <c r="T17" i="26" s="1"/>
  <c r="G24" i="21"/>
  <c r="H23" i="21"/>
  <c r="R41" i="30" s="1"/>
  <c r="R24" i="30" s="1"/>
  <c r="R36" i="21"/>
  <c r="Q36" i="21"/>
  <c r="P36" i="21"/>
  <c r="O36" i="21"/>
  <c r="V36" i="21"/>
  <c r="N36" i="21"/>
  <c r="U36" i="21"/>
  <c r="M36" i="21"/>
  <c r="T36" i="21"/>
  <c r="L36" i="21"/>
  <c r="S36" i="21"/>
  <c r="K36" i="21"/>
  <c r="U58" i="26"/>
  <c r="Y32" i="75"/>
  <c r="Y24" i="59"/>
  <c r="V14" i="40"/>
  <c r="J17" i="40"/>
  <c r="N31" i="21"/>
  <c r="I41" i="76"/>
  <c r="J41" i="76"/>
  <c r="L33" i="76"/>
  <c r="R39" i="21"/>
  <c r="L19" i="21"/>
  <c r="V37" i="30" s="1"/>
  <c r="V20" i="30" s="1"/>
  <c r="T42" i="38"/>
  <c r="P41" i="38"/>
  <c r="R41" i="38" s="1"/>
  <c r="H34" i="48"/>
  <c r="H72" i="48"/>
  <c r="H79" i="48" s="1"/>
  <c r="H74" i="48"/>
  <c r="H81" i="48" s="1"/>
  <c r="H37" i="48"/>
  <c r="M146" i="48"/>
  <c r="N123" i="48"/>
  <c r="H103" i="48" s="1"/>
  <c r="I103" i="48" s="1"/>
  <c r="J103" i="48" s="1"/>
  <c r="K103" i="48" s="1"/>
  <c r="L103" i="48" s="1"/>
  <c r="J69" i="38"/>
  <c r="J66" i="38"/>
  <c r="AA20" i="70"/>
  <c r="AA27" i="70" s="1"/>
  <c r="E6" i="71" s="1"/>
  <c r="G32" i="55"/>
  <c r="N138" i="48"/>
  <c r="W85" i="75"/>
  <c r="V34" i="75"/>
  <c r="V24" i="75"/>
  <c r="L34" i="75"/>
  <c r="L99" i="75" s="1"/>
  <c r="L24" i="75"/>
  <c r="L28" i="75" s="1"/>
  <c r="S48" i="75"/>
  <c r="G37" i="59"/>
  <c r="G38" i="59" s="1"/>
  <c r="H40" i="59" s="1"/>
  <c r="G45" i="75"/>
  <c r="G46" i="75" s="1"/>
  <c r="H48" i="75" s="1"/>
  <c r="G30" i="49"/>
  <c r="I40" i="59"/>
  <c r="Q35" i="21"/>
  <c r="M35" i="21"/>
  <c r="J70" i="38"/>
  <c r="AA17" i="30"/>
  <c r="Z13" i="30"/>
  <c r="Z11" i="30" s="1"/>
  <c r="Z46" i="30" s="1"/>
  <c r="E6" i="35" s="1"/>
  <c r="F8" i="55" s="1"/>
  <c r="AD48" i="20"/>
  <c r="I3" i="35"/>
  <c r="E14" i="75"/>
  <c r="E14" i="59"/>
  <c r="AH54" i="26"/>
  <c r="S14" i="59"/>
  <c r="S90" i="59" s="1"/>
  <c r="Y17" i="75"/>
  <c r="Y17" i="59"/>
  <c r="Z10" i="33"/>
  <c r="D12" i="35"/>
  <c r="E14" i="55" s="1"/>
  <c r="W31" i="80"/>
  <c r="O14" i="59"/>
  <c r="O90" i="59" s="1"/>
  <c r="G76" i="21"/>
  <c r="AB45" i="30"/>
  <c r="G7" i="35" s="1"/>
  <c r="H9" i="55" s="1"/>
  <c r="C21" i="21"/>
  <c r="M39" i="30" s="1"/>
  <c r="M45" i="30"/>
  <c r="P25" i="21"/>
  <c r="Z43" i="30" s="1"/>
  <c r="Z41" i="30"/>
  <c r="Z24" i="30" s="1"/>
  <c r="Z15" i="30" s="1"/>
  <c r="R33" i="75"/>
  <c r="R38" i="75" s="1"/>
  <c r="R23" i="75"/>
  <c r="R25" i="59"/>
  <c r="R30" i="59" s="1"/>
  <c r="K5" i="50" s="1"/>
  <c r="N48" i="75"/>
  <c r="I101" i="59"/>
  <c r="I29" i="59" s="1"/>
  <c r="I105" i="55"/>
  <c r="I73" i="55"/>
  <c r="C20" i="21"/>
  <c r="M38" i="30" s="1"/>
  <c r="M31" i="21"/>
  <c r="D82" i="21"/>
  <c r="E9" i="21"/>
  <c r="E4" i="21"/>
  <c r="E12" i="21"/>
  <c r="C82" i="21" s="1"/>
  <c r="E7" i="21"/>
  <c r="C77" i="21" s="1"/>
  <c r="E11" i="21"/>
  <c r="E10" i="21"/>
  <c r="E5" i="21"/>
  <c r="I15" i="21"/>
  <c r="S59" i="26"/>
  <c r="N17" i="26"/>
  <c r="E6" i="21"/>
  <c r="M21" i="21"/>
  <c r="W45" i="30"/>
  <c r="J23" i="21"/>
  <c r="T41" i="30" s="1"/>
  <c r="T24" i="30" s="1"/>
  <c r="L20" i="21"/>
  <c r="V38" i="30" s="1"/>
  <c r="P32" i="21"/>
  <c r="H32" i="21"/>
  <c r="O32" i="21"/>
  <c r="G32" i="21"/>
  <c r="V32" i="21"/>
  <c r="N32" i="21"/>
  <c r="U32" i="21"/>
  <c r="M32" i="21"/>
  <c r="T32" i="21"/>
  <c r="L32" i="21"/>
  <c r="S32" i="21"/>
  <c r="K32" i="21"/>
  <c r="R32" i="21"/>
  <c r="J32" i="21"/>
  <c r="Q32" i="21"/>
  <c r="I32" i="21"/>
  <c r="Q58" i="26"/>
  <c r="S15" i="21"/>
  <c r="AC59" i="26"/>
  <c r="P15" i="21"/>
  <c r="Z59" i="26"/>
  <c r="E105" i="55"/>
  <c r="E73" i="55"/>
  <c r="G21" i="21"/>
  <c r="Q45" i="30"/>
  <c r="H19" i="21"/>
  <c r="R37" i="30" s="1"/>
  <c r="F77" i="21"/>
  <c r="O37" i="21"/>
  <c r="V37" i="21"/>
  <c r="N37" i="21"/>
  <c r="U37" i="21"/>
  <c r="M37" i="21"/>
  <c r="T37" i="21"/>
  <c r="L37" i="21"/>
  <c r="S37" i="21"/>
  <c r="R37" i="21"/>
  <c r="Q37" i="21"/>
  <c r="P37" i="21"/>
  <c r="V58" i="26"/>
  <c r="Z32" i="75"/>
  <c r="Z24" i="59"/>
  <c r="K31" i="21"/>
  <c r="V31" i="21"/>
  <c r="G43" i="76"/>
  <c r="H42" i="76"/>
  <c r="U39" i="21"/>
  <c r="Q16" i="40"/>
  <c r="M19" i="21"/>
  <c r="W37" i="30" s="1"/>
  <c r="W20" i="30" s="1"/>
  <c r="R146" i="48"/>
  <c r="R121" i="48"/>
  <c r="S32" i="38"/>
  <c r="O31" i="38"/>
  <c r="Q31" i="38" s="1"/>
  <c r="S146" i="48"/>
  <c r="N34" i="75"/>
  <c r="N24" i="75"/>
  <c r="Z23" i="48"/>
  <c r="AA138" i="48"/>
  <c r="I38" i="48"/>
  <c r="I75" i="48"/>
  <c r="I82" i="48" s="1"/>
  <c r="J33" i="48"/>
  <c r="I34" i="48"/>
  <c r="J30" i="48"/>
  <c r="I72" i="48"/>
  <c r="I79" i="48" s="1"/>
  <c r="I48" i="75"/>
  <c r="G101" i="75"/>
  <c r="G39" i="75" s="1"/>
  <c r="K48" i="75"/>
  <c r="F45" i="75"/>
  <c r="F46" i="75" s="1"/>
  <c r="F48" i="75" s="1"/>
  <c r="F37" i="59"/>
  <c r="F38" i="59" s="1"/>
  <c r="F40" i="59" s="1"/>
  <c r="F30" i="49"/>
  <c r="L29" i="49"/>
  <c r="L30" i="49" s="1"/>
  <c r="E79" i="21"/>
  <c r="U35" i="21"/>
  <c r="V48" i="20"/>
  <c r="O9" i="50"/>
  <c r="N9" i="50"/>
  <c r="U48" i="20"/>
  <c r="L49" i="20"/>
  <c r="L50" i="20" s="1"/>
  <c r="E2" i="50"/>
  <c r="T14" i="75"/>
  <c r="T19" i="25"/>
  <c r="T14" i="59" s="1"/>
  <c r="T90" i="59" s="1"/>
  <c r="Q90" i="59"/>
  <c r="P14" i="75"/>
  <c r="P14" i="59"/>
  <c r="P90" i="59" s="1"/>
  <c r="O48" i="21"/>
  <c r="G48" i="21"/>
  <c r="G47" i="21" s="1"/>
  <c r="V48" i="21"/>
  <c r="N48" i="21"/>
  <c r="F48" i="21"/>
  <c r="F47" i="21" s="1"/>
  <c r="P106" i="26" s="1"/>
  <c r="U48" i="21"/>
  <c r="M48" i="21"/>
  <c r="E48" i="21"/>
  <c r="E47" i="21" s="1"/>
  <c r="O106" i="26" s="1"/>
  <c r="T48" i="21"/>
  <c r="L48" i="21"/>
  <c r="D48" i="21"/>
  <c r="D47" i="21" s="1"/>
  <c r="N106" i="26" s="1"/>
  <c r="S48" i="21"/>
  <c r="K48" i="21"/>
  <c r="R48" i="21"/>
  <c r="J48" i="21"/>
  <c r="H8" i="21"/>
  <c r="Q48" i="21"/>
  <c r="I48" i="21"/>
  <c r="P48" i="21"/>
  <c r="H48" i="21"/>
  <c r="W8" i="21"/>
  <c r="T36" i="30"/>
  <c r="V44" i="21"/>
  <c r="U44" i="21"/>
  <c r="T44" i="21"/>
  <c r="S44" i="21"/>
  <c r="AC58" i="26"/>
  <c r="I73" i="48"/>
  <c r="I80" i="48" s="1"/>
  <c r="J31" i="48"/>
  <c r="I36" i="48"/>
  <c r="Z27" i="20"/>
  <c r="D5" i="35"/>
  <c r="E7" i="55" s="1"/>
  <c r="U14" i="59"/>
  <c r="U90" i="59" s="1"/>
  <c r="V20" i="25"/>
  <c r="C14" i="21"/>
  <c r="C83" i="21"/>
  <c r="W13" i="21"/>
  <c r="AD13" i="26"/>
  <c r="M4" i="21"/>
  <c r="L4" i="21"/>
  <c r="K4" i="21"/>
  <c r="J4" i="21"/>
  <c r="F80" i="21"/>
  <c r="X60" i="26"/>
  <c r="X17" i="26" s="1"/>
  <c r="T51" i="21"/>
  <c r="T50" i="21"/>
  <c r="V17" i="6"/>
  <c r="W9" i="21"/>
  <c r="G77" i="21"/>
  <c r="L18" i="21"/>
  <c r="L23" i="21"/>
  <c r="V41" i="30" s="1"/>
  <c r="V24" i="30" s="1"/>
  <c r="Q33" i="21"/>
  <c r="I33" i="21"/>
  <c r="P33" i="21"/>
  <c r="H33" i="21"/>
  <c r="O33" i="21"/>
  <c r="V33" i="21"/>
  <c r="N33" i="21"/>
  <c r="U33" i="21"/>
  <c r="M33" i="21"/>
  <c r="T33" i="21"/>
  <c r="L33" i="21"/>
  <c r="S33" i="21"/>
  <c r="K33" i="21"/>
  <c r="R33" i="21"/>
  <c r="J33" i="21"/>
  <c r="R58" i="26"/>
  <c r="R56" i="26" s="1"/>
  <c r="L15" i="21"/>
  <c r="V59" i="26"/>
  <c r="Q15" i="21"/>
  <c r="AA59" i="26"/>
  <c r="G80" i="21"/>
  <c r="AB60" i="26"/>
  <c r="AB17" i="26" s="1"/>
  <c r="O23" i="21"/>
  <c r="F18" i="21"/>
  <c r="I21" i="21"/>
  <c r="S45" i="30"/>
  <c r="U38" i="21"/>
  <c r="M38" i="21"/>
  <c r="T38" i="21"/>
  <c r="S38" i="21"/>
  <c r="R38" i="21"/>
  <c r="Q38" i="21"/>
  <c r="P38" i="21"/>
  <c r="O38" i="21"/>
  <c r="V38" i="21"/>
  <c r="N38" i="21"/>
  <c r="W58" i="26"/>
  <c r="G74" i="21"/>
  <c r="AB33" i="75"/>
  <c r="AB38" i="75" s="1"/>
  <c r="AB23" i="75"/>
  <c r="AB25" i="59"/>
  <c r="AB30" i="59" s="1"/>
  <c r="D74" i="21"/>
  <c r="P33" i="75"/>
  <c r="P38" i="75" s="1"/>
  <c r="P23" i="75"/>
  <c r="P28" i="75" s="1"/>
  <c r="P25" i="59"/>
  <c r="P30" i="59" s="1"/>
  <c r="I5" i="50" s="1"/>
  <c r="D22" i="21"/>
  <c r="N40" i="30" s="1"/>
  <c r="N39" i="30"/>
  <c r="S31" i="21"/>
  <c r="G31" i="21"/>
  <c r="I69" i="38"/>
  <c r="I66" i="38"/>
  <c r="B49" i="76"/>
  <c r="D48" i="76"/>
  <c r="N39" i="21"/>
  <c r="T39" i="21"/>
  <c r="E82" i="21"/>
  <c r="S32" i="75"/>
  <c r="S99" i="75" s="1"/>
  <c r="S24" i="59"/>
  <c r="J15" i="40"/>
  <c r="J121" i="48"/>
  <c r="J146" i="48"/>
  <c r="N26" i="48"/>
  <c r="R137" i="48"/>
  <c r="P48" i="75"/>
  <c r="R34" i="75"/>
  <c r="R24" i="75"/>
  <c r="L45" i="75"/>
  <c r="L46" i="75" s="1"/>
  <c r="L48" i="75" s="1"/>
  <c r="L37" i="59"/>
  <c r="L38" i="59" s="1"/>
  <c r="L40" i="59" s="1"/>
  <c r="J35" i="21"/>
  <c r="N35" i="21"/>
  <c r="O50" i="26"/>
  <c r="O99" i="26"/>
  <c r="P51" i="26"/>
  <c r="O15" i="26"/>
  <c r="AC48" i="20"/>
  <c r="H3" i="35"/>
  <c r="I5" i="55" s="1"/>
  <c r="L14" i="75"/>
  <c r="L14" i="59"/>
  <c r="L90" i="59" s="1"/>
  <c r="L89" i="59" s="1"/>
  <c r="L92" i="59" s="1"/>
  <c r="L19" i="25"/>
  <c r="E69" i="26"/>
  <c r="E66" i="26" s="1"/>
  <c r="C66" i="26"/>
  <c r="Q98" i="75"/>
  <c r="H19" i="25"/>
  <c r="H14" i="59" s="1"/>
  <c r="V14" i="74"/>
  <c r="V13" i="74" s="1"/>
  <c r="V11" i="74" s="1"/>
  <c r="V19" i="74" s="1"/>
  <c r="W12" i="74"/>
  <c r="N33" i="75"/>
  <c r="N38" i="75" s="1"/>
  <c r="N23" i="75"/>
  <c r="N28" i="75" s="1"/>
  <c r="N25" i="59"/>
  <c r="N30" i="59" s="1"/>
  <c r="G5" i="50" s="1"/>
  <c r="M15" i="21"/>
  <c r="W59" i="26"/>
  <c r="K36" i="76"/>
  <c r="F32" i="55"/>
  <c r="J49" i="20"/>
  <c r="J50" i="20" s="1"/>
  <c r="C2" i="50"/>
  <c r="K19" i="25"/>
  <c r="K14" i="75" s="1"/>
  <c r="T40" i="21"/>
  <c r="S40" i="21"/>
  <c r="R40" i="21"/>
  <c r="Q40" i="21"/>
  <c r="P40" i="21"/>
  <c r="O40" i="21"/>
  <c r="V40" i="21"/>
  <c r="U40" i="21"/>
  <c r="Y58" i="26"/>
  <c r="P31" i="21"/>
  <c r="D83" i="21"/>
  <c r="F14" i="21"/>
  <c r="C79" i="21"/>
  <c r="M20" i="21"/>
  <c r="W38" i="30" s="1"/>
  <c r="K21" i="21"/>
  <c r="U45" i="30"/>
  <c r="M24" i="21"/>
  <c r="S34" i="21"/>
  <c r="K34" i="21"/>
  <c r="R34" i="21"/>
  <c r="J34" i="21"/>
  <c r="Q34" i="21"/>
  <c r="I34" i="21"/>
  <c r="P34" i="21"/>
  <c r="O34" i="21"/>
  <c r="V34" i="21"/>
  <c r="N34" i="21"/>
  <c r="U34" i="21"/>
  <c r="M34" i="21"/>
  <c r="T34" i="21"/>
  <c r="L34" i="21"/>
  <c r="S58" i="26"/>
  <c r="S56" i="26" s="1"/>
  <c r="C24" i="21"/>
  <c r="M42" i="30" s="1"/>
  <c r="T15" i="21"/>
  <c r="AD59" i="26"/>
  <c r="AD56" i="26" s="1"/>
  <c r="E83" i="21"/>
  <c r="J14" i="21"/>
  <c r="G20" i="21"/>
  <c r="Q38" i="30" s="1"/>
  <c r="H18" i="21"/>
  <c r="U51" i="21"/>
  <c r="U50" i="21"/>
  <c r="AC33" i="75"/>
  <c r="AC38" i="75" s="1"/>
  <c r="AC23" i="75"/>
  <c r="AC25" i="59"/>
  <c r="AC30" i="59" s="1"/>
  <c r="Q23" i="75"/>
  <c r="Q28" i="75" s="1"/>
  <c r="Q26" i="75" s="1"/>
  <c r="Q29" i="75" s="1"/>
  <c r="Q33" i="75"/>
  <c r="Q38" i="75" s="1"/>
  <c r="Q25" i="59"/>
  <c r="Q30" i="59" s="1"/>
  <c r="J5" i="50" s="1"/>
  <c r="L31" i="21"/>
  <c r="O31" i="21"/>
  <c r="R43" i="21"/>
  <c r="G79" i="21"/>
  <c r="V43" i="21"/>
  <c r="U43" i="21"/>
  <c r="T43" i="21"/>
  <c r="S43" i="21"/>
  <c r="AB58" i="26"/>
  <c r="R16" i="40"/>
  <c r="V39" i="21"/>
  <c r="L5" i="21"/>
  <c r="K5" i="21"/>
  <c r="J5" i="21"/>
  <c r="M5" i="21"/>
  <c r="D75" i="21"/>
  <c r="P32" i="75"/>
  <c r="P99" i="75" s="1"/>
  <c r="P24" i="59"/>
  <c r="K146" i="48"/>
  <c r="N137" i="48"/>
  <c r="U137" i="48"/>
  <c r="Z159" i="48"/>
  <c r="AA159" i="48" s="1"/>
  <c r="AB159" i="48" s="1"/>
  <c r="AC159" i="48" s="1"/>
  <c r="Z140" i="48"/>
  <c r="Y25" i="48"/>
  <c r="D22" i="35" s="1"/>
  <c r="E24" i="55" s="1"/>
  <c r="J137" i="48"/>
  <c r="U26" i="48"/>
  <c r="S121" i="48"/>
  <c r="H73" i="48"/>
  <c r="H80" i="48" s="1"/>
  <c r="H36" i="48"/>
  <c r="E40" i="59"/>
  <c r="D20" i="49"/>
  <c r="I18" i="49"/>
  <c r="I19" i="49" s="1"/>
  <c r="J20" i="49" s="1"/>
  <c r="Y27" i="49"/>
  <c r="Z27" i="49" s="1"/>
  <c r="R35" i="21"/>
  <c r="V35" i="21"/>
  <c r="U19" i="25"/>
  <c r="U14" i="75" s="1"/>
  <c r="AE48" i="20"/>
  <c r="J3" i="35"/>
  <c r="K49" i="20"/>
  <c r="K50" i="20" s="1"/>
  <c r="D2" i="50"/>
  <c r="M16" i="26"/>
  <c r="AA14" i="25"/>
  <c r="AA13" i="25" s="1"/>
  <c r="AB12" i="25"/>
  <c r="F102" i="55"/>
  <c r="F70" i="55"/>
  <c r="E92" i="55" l="1"/>
  <c r="E124" i="55"/>
  <c r="AD51" i="70"/>
  <c r="AD20" i="70" s="1"/>
  <c r="AD27" i="70" s="1"/>
  <c r="H6" i="71" s="1"/>
  <c r="AD18" i="70"/>
  <c r="AD26" i="70" s="1"/>
  <c r="H5" i="71" s="1"/>
  <c r="M40" i="59"/>
  <c r="D108" i="55"/>
  <c r="D76" i="55"/>
  <c r="K98" i="75"/>
  <c r="K97" i="75" s="1"/>
  <c r="K100" i="75" s="1"/>
  <c r="K27" i="75"/>
  <c r="K26" i="75" s="1"/>
  <c r="K29" i="75" s="1"/>
  <c r="Y104" i="75"/>
  <c r="Y106" i="75" s="1"/>
  <c r="Y105" i="75"/>
  <c r="L40" i="76"/>
  <c r="K40" i="76"/>
  <c r="M40" i="76" s="1"/>
  <c r="U27" i="75"/>
  <c r="U26" i="75" s="1"/>
  <c r="U29" i="75" s="1"/>
  <c r="U98" i="75"/>
  <c r="H90" i="59"/>
  <c r="H89" i="59" s="1"/>
  <c r="H92" i="59" s="1"/>
  <c r="H101" i="59" s="1"/>
  <c r="H29" i="59" s="1"/>
  <c r="H93" i="59"/>
  <c r="E88" i="55"/>
  <c r="E120" i="55"/>
  <c r="I22" i="21"/>
  <c r="S40" i="30" s="1"/>
  <c r="S39" i="30"/>
  <c r="E21" i="21"/>
  <c r="O45" i="30"/>
  <c r="E24" i="21"/>
  <c r="O42" i="30" s="1"/>
  <c r="E19" i="21"/>
  <c r="O37" i="30" s="1"/>
  <c r="E18" i="21"/>
  <c r="E23" i="21"/>
  <c r="O41" i="30" s="1"/>
  <c r="O24" i="30" s="1"/>
  <c r="E20" i="21"/>
  <c r="O38" i="30" s="1"/>
  <c r="AB17" i="30"/>
  <c r="K41" i="76"/>
  <c r="M41" i="76" s="1"/>
  <c r="L41" i="76"/>
  <c r="H98" i="75"/>
  <c r="H97" i="75" s="1"/>
  <c r="H100" i="75" s="1"/>
  <c r="H27" i="75"/>
  <c r="H26" i="75" s="1"/>
  <c r="H29" i="75" s="1"/>
  <c r="H101" i="75"/>
  <c r="F90" i="59"/>
  <c r="F89" i="59" s="1"/>
  <c r="F92" i="59" s="1"/>
  <c r="F101" i="59" s="1"/>
  <c r="F29" i="59" s="1"/>
  <c r="F93" i="59"/>
  <c r="F31" i="59" s="1"/>
  <c r="J74" i="48"/>
  <c r="J81" i="48" s="1"/>
  <c r="K32" i="48"/>
  <c r="J37" i="48"/>
  <c r="M6" i="50"/>
  <c r="T46" i="30"/>
  <c r="F101" i="55"/>
  <c r="F69" i="55"/>
  <c r="W32" i="75"/>
  <c r="W24" i="59"/>
  <c r="K14" i="59"/>
  <c r="K90" i="59" s="1"/>
  <c r="K89" i="59" s="1"/>
  <c r="K92" i="59" s="1"/>
  <c r="P36" i="30"/>
  <c r="U52" i="21"/>
  <c r="M52" i="21"/>
  <c r="M47" i="21" s="1"/>
  <c r="W106" i="26" s="1"/>
  <c r="T52" i="21"/>
  <c r="T47" i="21" s="1"/>
  <c r="AD106" i="26" s="1"/>
  <c r="L52" i="21"/>
  <c r="S52" i="21"/>
  <c r="S47" i="21" s="1"/>
  <c r="AC106" i="26" s="1"/>
  <c r="K52" i="21"/>
  <c r="D78" i="21"/>
  <c r="R52" i="21"/>
  <c r="J52" i="21"/>
  <c r="Q52" i="21"/>
  <c r="I52" i="21"/>
  <c r="P52" i="21"/>
  <c r="H52" i="21"/>
  <c r="H47" i="21" s="1"/>
  <c r="O52" i="21"/>
  <c r="V52" i="21"/>
  <c r="N52" i="21"/>
  <c r="E15" i="35"/>
  <c r="F17" i="55" s="1"/>
  <c r="P55" i="48"/>
  <c r="O55" i="48"/>
  <c r="N55" i="48"/>
  <c r="M55" i="48"/>
  <c r="U36" i="30"/>
  <c r="AD73" i="30" s="1"/>
  <c r="H102" i="55"/>
  <c r="H70" i="55"/>
  <c r="F98" i="75"/>
  <c r="F97" i="75" s="1"/>
  <c r="F100" i="75" s="1"/>
  <c r="F109" i="75" s="1"/>
  <c r="F37" i="75" s="1"/>
  <c r="F27" i="75"/>
  <c r="F26" i="75" s="1"/>
  <c r="F29" i="75" s="1"/>
  <c r="F101" i="75"/>
  <c r="F39" i="75" s="1"/>
  <c r="F41" i="75" s="1"/>
  <c r="F74" i="21"/>
  <c r="X33" i="75"/>
  <c r="X38" i="75" s="1"/>
  <c r="X23" i="75"/>
  <c r="X25" i="59"/>
  <c r="X30" i="59" s="1"/>
  <c r="D117" i="55"/>
  <c r="D85" i="55"/>
  <c r="AB14" i="25"/>
  <c r="AB13" i="25" s="1"/>
  <c r="AC12" i="25"/>
  <c r="E75" i="21"/>
  <c r="E84" i="21"/>
  <c r="J15" i="21"/>
  <c r="E85" i="21" s="1"/>
  <c r="E87" i="21" s="1"/>
  <c r="T59" i="26"/>
  <c r="T56" i="26" s="1"/>
  <c r="O25" i="21"/>
  <c r="Y43" i="30" s="1"/>
  <c r="Y41" i="30"/>
  <c r="Y24" i="30" s="1"/>
  <c r="V36" i="30"/>
  <c r="E74" i="21"/>
  <c r="T33" i="75"/>
  <c r="T23" i="75"/>
  <c r="T28" i="75" s="1"/>
  <c r="T25" i="59"/>
  <c r="C15" i="21"/>
  <c r="C84" i="21"/>
  <c r="W14" i="21"/>
  <c r="T57" i="48"/>
  <c r="S57" i="48"/>
  <c r="R57" i="48"/>
  <c r="Q57" i="48"/>
  <c r="J47" i="21"/>
  <c r="T106" i="26" s="1"/>
  <c r="P98" i="75"/>
  <c r="P97" i="75" s="1"/>
  <c r="P100" i="75" s="1"/>
  <c r="P27" i="75"/>
  <c r="P26" i="75" s="1"/>
  <c r="P29" i="75" s="1"/>
  <c r="L28" i="20"/>
  <c r="L12" i="20"/>
  <c r="J34" i="48"/>
  <c r="J72" i="48"/>
  <c r="J79" i="48" s="1"/>
  <c r="K30" i="48"/>
  <c r="W15" i="30"/>
  <c r="W13" i="30"/>
  <c r="W12" i="30" s="1"/>
  <c r="G22" i="21"/>
  <c r="Q40" i="30" s="1"/>
  <c r="Q39" i="30"/>
  <c r="Q56" i="26"/>
  <c r="N20" i="26"/>
  <c r="N101" i="26" s="1"/>
  <c r="N96" i="26" s="1"/>
  <c r="O33" i="75"/>
  <c r="O38" i="75" s="1"/>
  <c r="O23" i="75"/>
  <c r="O28" i="75" s="1"/>
  <c r="O25" i="59"/>
  <c r="O30" i="59" s="1"/>
  <c r="H5" i="50" s="1"/>
  <c r="E110" i="55"/>
  <c r="E78" i="55"/>
  <c r="E90" i="59"/>
  <c r="E89" i="59" s="1"/>
  <c r="E92" i="59" s="1"/>
  <c r="E101" i="59" s="1"/>
  <c r="E29" i="59" s="1"/>
  <c r="E93" i="59"/>
  <c r="E31" i="59" s="1"/>
  <c r="J73" i="38"/>
  <c r="J71" i="38"/>
  <c r="AD11" i="20"/>
  <c r="H4" i="35"/>
  <c r="I6" i="55" s="1"/>
  <c r="P40" i="59"/>
  <c r="W12" i="21"/>
  <c r="P15" i="30"/>
  <c r="P13" i="30"/>
  <c r="P12" i="30" s="1"/>
  <c r="Y23" i="75"/>
  <c r="Y33" i="75"/>
  <c r="Y38" i="75" s="1"/>
  <c r="Y25" i="59"/>
  <c r="Y30" i="59" s="1"/>
  <c r="H69" i="55"/>
  <c r="H101" i="55"/>
  <c r="W7" i="21"/>
  <c r="H15" i="35"/>
  <c r="I17" i="55" s="1"/>
  <c r="Z56" i="26"/>
  <c r="Z13" i="26"/>
  <c r="M28" i="76"/>
  <c r="I96" i="55"/>
  <c r="I128" i="55"/>
  <c r="AB96" i="59"/>
  <c r="AB98" i="59" s="1"/>
  <c r="AB97" i="59"/>
  <c r="G109" i="75"/>
  <c r="G37" i="75" s="1"/>
  <c r="E28" i="21"/>
  <c r="D25" i="21"/>
  <c r="M31" i="76"/>
  <c r="M30" i="76"/>
  <c r="C25" i="21"/>
  <c r="M43" i="30" s="1"/>
  <c r="Q47" i="21"/>
  <c r="AA106" i="26" s="1"/>
  <c r="G128" i="55"/>
  <c r="G96" i="55"/>
  <c r="N25" i="21"/>
  <c r="X43" i="30" s="1"/>
  <c r="X37" i="30"/>
  <c r="X20" i="30" s="1"/>
  <c r="AD74" i="30"/>
  <c r="U20" i="30"/>
  <c r="G84" i="21"/>
  <c r="R15" i="21"/>
  <c r="G85" i="21" s="1"/>
  <c r="AB59" i="26"/>
  <c r="N98" i="75"/>
  <c r="N97" i="75" s="1"/>
  <c r="N100" i="75" s="1"/>
  <c r="N27" i="75"/>
  <c r="N26" i="75" s="1"/>
  <c r="N29" i="75" s="1"/>
  <c r="AA140" i="48"/>
  <c r="Z25" i="48"/>
  <c r="E22" i="35" s="1"/>
  <c r="F24" i="55" s="1"/>
  <c r="J6" i="50"/>
  <c r="Q46" i="30"/>
  <c r="F6" i="50"/>
  <c r="M46" i="30"/>
  <c r="J22" i="21"/>
  <c r="T40" i="30" s="1"/>
  <c r="T39" i="30"/>
  <c r="E13" i="76"/>
  <c r="D14" i="76"/>
  <c r="P57" i="48"/>
  <c r="O57" i="48"/>
  <c r="N57" i="48"/>
  <c r="M57" i="48"/>
  <c r="U32" i="75"/>
  <c r="U24" i="59"/>
  <c r="H16" i="35"/>
  <c r="I18" i="55" s="1"/>
  <c r="G34" i="76"/>
  <c r="H34" i="76" s="1"/>
  <c r="W56" i="26"/>
  <c r="W13" i="26"/>
  <c r="U33" i="75"/>
  <c r="U38" i="75" s="1"/>
  <c r="U23" i="75"/>
  <c r="U28" i="75" s="1"/>
  <c r="U25" i="59"/>
  <c r="U30" i="59" s="1"/>
  <c r="N5" i="50" s="1"/>
  <c r="V16" i="75"/>
  <c r="V14" i="75" s="1"/>
  <c r="V16" i="59"/>
  <c r="V14" i="59" s="1"/>
  <c r="V90" i="59" s="1"/>
  <c r="W20" i="25"/>
  <c r="K31" i="48"/>
  <c r="J36" i="48"/>
  <c r="J73" i="48"/>
  <c r="J80" i="48" s="1"/>
  <c r="J25" i="21"/>
  <c r="R47" i="21"/>
  <c r="AB106" i="26" s="1"/>
  <c r="U47" i="21"/>
  <c r="AE106" i="26" s="1"/>
  <c r="R55" i="48"/>
  <c r="Q55" i="48"/>
  <c r="T55" i="48"/>
  <c r="S55" i="48"/>
  <c r="V56" i="26"/>
  <c r="V13" i="26"/>
  <c r="Q30" i="21"/>
  <c r="I30" i="21"/>
  <c r="I28" i="21" s="1"/>
  <c r="P30" i="21"/>
  <c r="H30" i="21"/>
  <c r="H28" i="21" s="1"/>
  <c r="O30" i="21"/>
  <c r="O28" i="21" s="1"/>
  <c r="Y104" i="26" s="1"/>
  <c r="G30" i="21"/>
  <c r="G28" i="21" s="1"/>
  <c r="V30" i="21"/>
  <c r="N30" i="21"/>
  <c r="F30" i="21"/>
  <c r="U30" i="21"/>
  <c r="M30" i="21"/>
  <c r="E30" i="21"/>
  <c r="T30" i="21"/>
  <c r="T28" i="21" s="1"/>
  <c r="AD104" i="26" s="1"/>
  <c r="L30" i="21"/>
  <c r="L28" i="21" s="1"/>
  <c r="S30" i="21"/>
  <c r="S28" i="21" s="1"/>
  <c r="AC104" i="26" s="1"/>
  <c r="K30" i="21"/>
  <c r="K28" i="21" s="1"/>
  <c r="R30" i="21"/>
  <c r="J30" i="21"/>
  <c r="O58" i="26"/>
  <c r="M48" i="75"/>
  <c r="C76" i="21"/>
  <c r="Z17" i="75"/>
  <c r="AA10" i="33"/>
  <c r="G131" i="75" s="1"/>
  <c r="G132" i="75" s="1"/>
  <c r="Z17" i="59"/>
  <c r="E12" i="35"/>
  <c r="F14" i="55" s="1"/>
  <c r="G123" i="59"/>
  <c r="G124" i="59" s="1"/>
  <c r="G126" i="59"/>
  <c r="G134" i="75"/>
  <c r="E27" i="75"/>
  <c r="E26" i="75" s="1"/>
  <c r="E29" i="75" s="1"/>
  <c r="E98" i="75"/>
  <c r="E97" i="75" s="1"/>
  <c r="E100" i="75" s="1"/>
  <c r="E109" i="75" s="1"/>
  <c r="E37" i="75" s="1"/>
  <c r="E101" i="75"/>
  <c r="E39" i="75" s="1"/>
  <c r="P42" i="38"/>
  <c r="T43" i="38"/>
  <c r="N32" i="75"/>
  <c r="N99" i="75" s="1"/>
  <c r="N24" i="59"/>
  <c r="AD12" i="30"/>
  <c r="Q25" i="21"/>
  <c r="AA43" i="30" s="1"/>
  <c r="AA41" i="30"/>
  <c r="AA24" i="30" s="1"/>
  <c r="AA15" i="30" s="1"/>
  <c r="Z33" i="75"/>
  <c r="Z38" i="75" s="1"/>
  <c r="Z23" i="75"/>
  <c r="Z25" i="59"/>
  <c r="Z30" i="59" s="1"/>
  <c r="Q6" i="50"/>
  <c r="C7" i="35"/>
  <c r="D9" i="55" s="1"/>
  <c r="X46" i="30"/>
  <c r="C6" i="35" s="1"/>
  <c r="D8" i="55" s="1"/>
  <c r="M28" i="21"/>
  <c r="P28" i="21"/>
  <c r="Z104" i="26" s="1"/>
  <c r="J26" i="75"/>
  <c r="J29" i="75" s="1"/>
  <c r="J109" i="75"/>
  <c r="J37" i="75" s="1"/>
  <c r="K28" i="20"/>
  <c r="K12" i="20"/>
  <c r="R36" i="30"/>
  <c r="K22" i="21"/>
  <c r="U40" i="30" s="1"/>
  <c r="AD77" i="30" s="1"/>
  <c r="U39" i="30"/>
  <c r="AD76" i="30" s="1"/>
  <c r="I101" i="55"/>
  <c r="I69" i="55"/>
  <c r="O47" i="21"/>
  <c r="Y106" i="26" s="1"/>
  <c r="T98" i="75"/>
  <c r="T27" i="75"/>
  <c r="T26" i="75" s="1"/>
  <c r="T29" i="75" s="1"/>
  <c r="V32" i="75"/>
  <c r="V99" i="75" s="1"/>
  <c r="V24" i="59"/>
  <c r="F15" i="21"/>
  <c r="D85" i="21" s="1"/>
  <c r="D87" i="21" s="1"/>
  <c r="D84" i="21"/>
  <c r="P59" i="26"/>
  <c r="P56" i="26" s="1"/>
  <c r="J28" i="20"/>
  <c r="J12" i="20"/>
  <c r="P50" i="26"/>
  <c r="P99" i="26"/>
  <c r="P96" i="26" s="1"/>
  <c r="P15" i="26"/>
  <c r="P20" i="26" s="1"/>
  <c r="P101" i="26" s="1"/>
  <c r="Q51" i="26"/>
  <c r="D49" i="76"/>
  <c r="B50" i="76"/>
  <c r="D50" i="76" s="1"/>
  <c r="G35" i="76" s="1"/>
  <c r="H35" i="76" s="1"/>
  <c r="V33" i="75"/>
  <c r="V38" i="75" s="1"/>
  <c r="V23" i="75"/>
  <c r="V28" i="75" s="1"/>
  <c r="V25" i="59"/>
  <c r="V30" i="59" s="1"/>
  <c r="O5" i="50" s="1"/>
  <c r="K47" i="21"/>
  <c r="U106" i="26" s="1"/>
  <c r="J38" i="48"/>
  <c r="J75" i="48"/>
  <c r="J82" i="48" s="1"/>
  <c r="K33" i="48"/>
  <c r="T15" i="30"/>
  <c r="T13" i="30"/>
  <c r="T12" i="30" s="1"/>
  <c r="W6" i="21"/>
  <c r="V13" i="30"/>
  <c r="V12" i="30" s="1"/>
  <c r="V15" i="30"/>
  <c r="R13" i="30"/>
  <c r="R12" i="30" s="1"/>
  <c r="R15" i="30"/>
  <c r="W5" i="21"/>
  <c r="C75" i="21"/>
  <c r="M32" i="75"/>
  <c r="M99" i="75" s="1"/>
  <c r="M24" i="59"/>
  <c r="J4" i="50"/>
  <c r="Q91" i="59"/>
  <c r="Q89" i="59" s="1"/>
  <c r="Q92" i="59" s="1"/>
  <c r="Q4" i="50"/>
  <c r="C15" i="35"/>
  <c r="D17" i="55" s="1"/>
  <c r="X91" i="59"/>
  <c r="K4" i="50"/>
  <c r="R91" i="59"/>
  <c r="R89" i="59" s="1"/>
  <c r="R92" i="59" s="1"/>
  <c r="AA33" i="75"/>
  <c r="AA38" i="75" s="1"/>
  <c r="AA23" i="75"/>
  <c r="AA25" i="59"/>
  <c r="AA30" i="59" s="1"/>
  <c r="S18" i="38"/>
  <c r="L17" i="38"/>
  <c r="D27" i="75"/>
  <c r="D26" i="75" s="1"/>
  <c r="D29" i="75" s="1"/>
  <c r="D98" i="75"/>
  <c r="D97" i="75" s="1"/>
  <c r="D100" i="75" s="1"/>
  <c r="D101" i="75"/>
  <c r="D39" i="75" s="1"/>
  <c r="S28" i="75"/>
  <c r="U28" i="21"/>
  <c r="AE104" i="26" s="1"/>
  <c r="AH16" i="26"/>
  <c r="M100" i="26"/>
  <c r="M96" i="26" s="1"/>
  <c r="M20" i="26"/>
  <c r="M101" i="26" s="1"/>
  <c r="F128" i="55"/>
  <c r="F96" i="55"/>
  <c r="I73" i="38"/>
  <c r="I71" i="38"/>
  <c r="W23" i="75"/>
  <c r="W33" i="75"/>
  <c r="W38" i="75" s="1"/>
  <c r="W25" i="59"/>
  <c r="W30" i="59" s="1"/>
  <c r="P5" i="50" s="1"/>
  <c r="AC56" i="26"/>
  <c r="AC13" i="26"/>
  <c r="N47" i="21"/>
  <c r="X106" i="26" s="1"/>
  <c r="S33" i="38"/>
  <c r="O32" i="38"/>
  <c r="J42" i="76"/>
  <c r="I42" i="76"/>
  <c r="P6" i="50"/>
  <c r="W46" i="30"/>
  <c r="O32" i="75"/>
  <c r="O99" i="75" s="1"/>
  <c r="O97" i="75" s="1"/>
  <c r="O100" i="75" s="1"/>
  <c r="O24" i="59"/>
  <c r="R28" i="75"/>
  <c r="R26" i="75" s="1"/>
  <c r="R29" i="75" s="1"/>
  <c r="H73" i="55"/>
  <c r="H105" i="55"/>
  <c r="D15" i="35"/>
  <c r="E17" i="55" s="1"/>
  <c r="I6" i="50"/>
  <c r="P46" i="30"/>
  <c r="Q99" i="75"/>
  <c r="Q97" i="75" s="1"/>
  <c r="Q100" i="75" s="1"/>
  <c r="K6" i="50"/>
  <c r="R46" i="30"/>
  <c r="R99" i="75"/>
  <c r="R97" i="75" s="1"/>
  <c r="R100" i="75" s="1"/>
  <c r="I25" i="21"/>
  <c r="E118" i="55"/>
  <c r="E86" i="55"/>
  <c r="F28" i="21"/>
  <c r="Q28" i="21"/>
  <c r="AA104" i="26" s="1"/>
  <c r="J101" i="75"/>
  <c r="I39" i="75"/>
  <c r="O26" i="75"/>
  <c r="O29" i="75" s="1"/>
  <c r="Y45" i="75"/>
  <c r="Y37" i="59"/>
  <c r="Y29" i="49"/>
  <c r="Y30" i="49" s="1"/>
  <c r="D11" i="35"/>
  <c r="I4" i="50"/>
  <c r="P91" i="59"/>
  <c r="P89" i="59" s="1"/>
  <c r="P92" i="59" s="1"/>
  <c r="W11" i="74"/>
  <c r="W19" i="74" s="1"/>
  <c r="X12" i="74"/>
  <c r="W14" i="74"/>
  <c r="W13" i="74" s="1"/>
  <c r="L4" i="50"/>
  <c r="S91" i="59"/>
  <c r="L6" i="50"/>
  <c r="S46" i="30"/>
  <c r="E103" i="55"/>
  <c r="E71" i="55"/>
  <c r="P47" i="21"/>
  <c r="Z106" i="26" s="1"/>
  <c r="V47" i="21"/>
  <c r="AF106" i="26" s="1"/>
  <c r="R59" i="48"/>
  <c r="Q59" i="48"/>
  <c r="T59" i="48"/>
  <c r="S59" i="48"/>
  <c r="H43" i="76"/>
  <c r="G44" i="76"/>
  <c r="M22" i="21"/>
  <c r="W40" i="30" s="1"/>
  <c r="W39" i="30"/>
  <c r="O60" i="26"/>
  <c r="C80" i="21"/>
  <c r="W10" i="21"/>
  <c r="F72" i="55"/>
  <c r="F104" i="55"/>
  <c r="G48" i="75"/>
  <c r="U46" i="75" s="1"/>
  <c r="V46" i="75" s="1"/>
  <c r="W46" i="75" s="1"/>
  <c r="X46" i="75" s="1"/>
  <c r="Y46" i="75" s="1"/>
  <c r="Z46" i="75" s="1"/>
  <c r="AA46" i="75" s="1"/>
  <c r="AB46" i="75" s="1"/>
  <c r="AC46" i="75" s="1"/>
  <c r="W34" i="75"/>
  <c r="X85" i="75"/>
  <c r="W24" i="75"/>
  <c r="O58" i="48"/>
  <c r="N58" i="48"/>
  <c r="M58" i="48"/>
  <c r="P58" i="48"/>
  <c r="O6" i="50"/>
  <c r="V46" i="30"/>
  <c r="G69" i="55"/>
  <c r="G101" i="55"/>
  <c r="W4" i="21"/>
  <c r="H22" i="21"/>
  <c r="R40" i="30" s="1"/>
  <c r="R39" i="30"/>
  <c r="G15" i="35"/>
  <c r="H17" i="55" s="1"/>
  <c r="Z77" i="59"/>
  <c r="Y26" i="59"/>
  <c r="Y91" i="59" s="1"/>
  <c r="F15" i="35"/>
  <c r="G17" i="55" s="1"/>
  <c r="M25" i="21"/>
  <c r="Z19" i="48"/>
  <c r="E20" i="35" s="1"/>
  <c r="F22" i="55" s="1"/>
  <c r="AH58" i="26"/>
  <c r="AI13" i="26" s="1"/>
  <c r="N56" i="26"/>
  <c r="N28" i="21"/>
  <c r="J28" i="21"/>
  <c r="S26" i="75"/>
  <c r="S29" i="75" s="1"/>
  <c r="I20" i="49"/>
  <c r="AB56" i="26"/>
  <c r="AB13" i="26"/>
  <c r="AD82" i="30"/>
  <c r="N6" i="50"/>
  <c r="U46" i="30"/>
  <c r="AD83" i="30" s="1"/>
  <c r="Y13" i="26"/>
  <c r="Y56" i="26"/>
  <c r="M37" i="76"/>
  <c r="L27" i="75"/>
  <c r="L26" i="75" s="1"/>
  <c r="L29" i="75" s="1"/>
  <c r="L98" i="75"/>
  <c r="L97" i="75" s="1"/>
  <c r="L100" i="75" s="1"/>
  <c r="G16" i="35"/>
  <c r="H18" i="55" s="1"/>
  <c r="AA27" i="20"/>
  <c r="E5" i="35"/>
  <c r="F7" i="55" s="1"/>
  <c r="I47" i="21"/>
  <c r="S106" i="26" s="1"/>
  <c r="L47" i="21"/>
  <c r="V106" i="26" s="1"/>
  <c r="Q106" i="26"/>
  <c r="G41" i="75"/>
  <c r="AA23" i="48"/>
  <c r="AA19" i="48" s="1"/>
  <c r="F20" i="35" s="1"/>
  <c r="G22" i="55" s="1"/>
  <c r="AB138" i="48"/>
  <c r="C81" i="21"/>
  <c r="W11" i="21"/>
  <c r="S89" i="59"/>
  <c r="S92" i="59" s="1"/>
  <c r="G40" i="59"/>
  <c r="U38" i="59" s="1"/>
  <c r="V38" i="59" s="1"/>
  <c r="W38" i="59" s="1"/>
  <c r="X38" i="59" s="1"/>
  <c r="U56" i="26"/>
  <c r="U13" i="26"/>
  <c r="L22" i="21"/>
  <c r="V40" i="30" s="1"/>
  <c r="V39" i="30"/>
  <c r="F22" i="21"/>
  <c r="P40" i="30" s="1"/>
  <c r="P39" i="30"/>
  <c r="T58" i="48"/>
  <c r="S58" i="48"/>
  <c r="R58" i="48"/>
  <c r="Q58" i="48"/>
  <c r="C74" i="21"/>
  <c r="AA56" i="26"/>
  <c r="AA13" i="26"/>
  <c r="P59" i="48"/>
  <c r="O59" i="48"/>
  <c r="N59" i="48"/>
  <c r="M59" i="48"/>
  <c r="M98" i="75"/>
  <c r="M97" i="75" s="1"/>
  <c r="M100" i="75" s="1"/>
  <c r="M27" i="75"/>
  <c r="M26" i="75" s="1"/>
  <c r="M29" i="75" s="1"/>
  <c r="G25" i="21"/>
  <c r="N15" i="21"/>
  <c r="F85" i="21" s="1"/>
  <c r="F84" i="21"/>
  <c r="F87" i="21" s="1"/>
  <c r="X59" i="26"/>
  <c r="X56" i="26" s="1"/>
  <c r="G87" i="21"/>
  <c r="V28" i="21"/>
  <c r="AF104" i="26" s="1"/>
  <c r="R28" i="21"/>
  <c r="AB104" i="26" s="1"/>
  <c r="I109" i="75"/>
  <c r="I37" i="75" s="1"/>
  <c r="S97" i="75"/>
  <c r="S100" i="75" s="1"/>
  <c r="D33" i="59"/>
  <c r="M29" i="76"/>
  <c r="R106" i="26" l="1"/>
  <c r="W47" i="21"/>
  <c r="G118" i="55"/>
  <c r="G86" i="55"/>
  <c r="X59" i="48"/>
  <c r="W59" i="48"/>
  <c r="V59" i="48"/>
  <c r="U59" i="48"/>
  <c r="O15" i="30"/>
  <c r="O13" i="30"/>
  <c r="O12" i="30" s="1"/>
  <c r="U104" i="26"/>
  <c r="AH13" i="26"/>
  <c r="G81" i="55"/>
  <c r="G113" i="55"/>
  <c r="I43" i="76"/>
  <c r="J43" i="76" s="1"/>
  <c r="Z45" i="75"/>
  <c r="Z37" i="59"/>
  <c r="AA27" i="49"/>
  <c r="Z29" i="49"/>
  <c r="Z30" i="49" s="1"/>
  <c r="E11" i="35"/>
  <c r="F13" i="55" s="1"/>
  <c r="G4" i="50"/>
  <c r="N91" i="59"/>
  <c r="N89" i="59" s="1"/>
  <c r="N92" i="59" s="1"/>
  <c r="X57" i="48"/>
  <c r="W57" i="48"/>
  <c r="V57" i="48"/>
  <c r="U57" i="48"/>
  <c r="W104" i="26"/>
  <c r="N4" i="50"/>
  <c r="U91" i="59"/>
  <c r="U89" i="59" s="1"/>
  <c r="U92" i="59" s="1"/>
  <c r="H109" i="75"/>
  <c r="H37" i="75" s="1"/>
  <c r="E25" i="21"/>
  <c r="O36" i="30"/>
  <c r="AC138" i="48"/>
  <c r="AB23" i="48"/>
  <c r="AB19" i="48" s="1"/>
  <c r="G20" i="35" s="1"/>
  <c r="H22" i="55" s="1"/>
  <c r="X13" i="30"/>
  <c r="X12" i="30" s="1"/>
  <c r="X15" i="30"/>
  <c r="Y12" i="74"/>
  <c r="X14" i="74"/>
  <c r="X13" i="74" s="1"/>
  <c r="X11" i="74" s="1"/>
  <c r="X19" i="74" s="1"/>
  <c r="L42" i="76"/>
  <c r="K42" i="76"/>
  <c r="M42" i="76" s="1"/>
  <c r="F4" i="50"/>
  <c r="M91" i="59"/>
  <c r="M89" i="59" s="1"/>
  <c r="M92" i="59" s="1"/>
  <c r="P49" i="20"/>
  <c r="P50" i="20" s="1"/>
  <c r="I2" i="50"/>
  <c r="O4" i="50"/>
  <c r="V91" i="59"/>
  <c r="E16" i="35"/>
  <c r="F18" i="55" s="1"/>
  <c r="O56" i="26"/>
  <c r="K36" i="48"/>
  <c r="K73" i="48"/>
  <c r="K80" i="48" s="1"/>
  <c r="L31" i="48"/>
  <c r="U99" i="75"/>
  <c r="F13" i="76"/>
  <c r="E14" i="76"/>
  <c r="D16" i="35"/>
  <c r="E18" i="55" s="1"/>
  <c r="I70" i="55"/>
  <c r="I102" i="55"/>
  <c r="Z91" i="59"/>
  <c r="P4" i="50"/>
  <c r="W91" i="59"/>
  <c r="W58" i="48"/>
  <c r="V58" i="48"/>
  <c r="U58" i="48"/>
  <c r="X58" i="48"/>
  <c r="Q99" i="26"/>
  <c r="Q96" i="26" s="1"/>
  <c r="R51" i="26"/>
  <c r="Q50" i="26"/>
  <c r="Q15" i="26"/>
  <c r="Q20" i="26" s="1"/>
  <c r="Q101" i="26" s="1"/>
  <c r="N43" i="30"/>
  <c r="D26" i="21"/>
  <c r="X55" i="48"/>
  <c r="W55" i="48"/>
  <c r="V55" i="48"/>
  <c r="U55" i="48"/>
  <c r="AH56" i="26"/>
  <c r="T44" i="38"/>
  <c r="P43" i="38"/>
  <c r="R43" i="38" s="1"/>
  <c r="W14" i="75"/>
  <c r="W16" i="59"/>
  <c r="W14" i="59" s="1"/>
  <c r="W90" i="59" s="1"/>
  <c r="W89" i="59" s="1"/>
  <c r="W92" i="59" s="1"/>
  <c r="X20" i="25"/>
  <c r="I34" i="76"/>
  <c r="J34" i="76" s="1"/>
  <c r="F88" i="55"/>
  <c r="F120" i="55"/>
  <c r="AE11" i="20"/>
  <c r="I4" i="35"/>
  <c r="L25" i="21"/>
  <c r="Q5" i="50"/>
  <c r="C16" i="35"/>
  <c r="D18" i="55" s="1"/>
  <c r="F113" i="55"/>
  <c r="F81" i="55"/>
  <c r="W99" i="75"/>
  <c r="K74" i="48"/>
  <c r="K81" i="48" s="1"/>
  <c r="L32" i="48"/>
  <c r="K37" i="48"/>
  <c r="Z104" i="75"/>
  <c r="Z106" i="75" s="1"/>
  <c r="Z105" i="75"/>
  <c r="AB27" i="20"/>
  <c r="F5" i="35"/>
  <c r="G7" i="55" s="1"/>
  <c r="G45" i="76"/>
  <c r="H44" i="76"/>
  <c r="Q32" i="38"/>
  <c r="AH59" i="26"/>
  <c r="AI14" i="26" s="1"/>
  <c r="S34" i="38"/>
  <c r="O33" i="38"/>
  <c r="Q33" i="38" s="1"/>
  <c r="W28" i="75"/>
  <c r="W26" i="75" s="1"/>
  <c r="D109" i="75"/>
  <c r="D37" i="75" s="1"/>
  <c r="D41" i="75" s="1"/>
  <c r="R42" i="38"/>
  <c r="F110" i="55"/>
  <c r="F78" i="55"/>
  <c r="V89" i="59"/>
  <c r="V92" i="59" s="1"/>
  <c r="AB140" i="48"/>
  <c r="AA25" i="48"/>
  <c r="F22" i="35" s="1"/>
  <c r="G24" i="55" s="1"/>
  <c r="Y13" i="30"/>
  <c r="Y11" i="30" s="1"/>
  <c r="Y46" i="30" s="1"/>
  <c r="D6" i="35" s="1"/>
  <c r="E8" i="55" s="1"/>
  <c r="Y15" i="30"/>
  <c r="AC14" i="25"/>
  <c r="AC13" i="25" s="1"/>
  <c r="AD12" i="25"/>
  <c r="AB15" i="30"/>
  <c r="AB13" i="30"/>
  <c r="AB11" i="30" s="1"/>
  <c r="AB46" i="30" s="1"/>
  <c r="G6" i="35" s="1"/>
  <c r="H8" i="55" s="1"/>
  <c r="AC17" i="30"/>
  <c r="H6" i="50"/>
  <c r="O46" i="30"/>
  <c r="E113" i="55"/>
  <c r="E81" i="55"/>
  <c r="AA77" i="59"/>
  <c r="Z26" i="59"/>
  <c r="F118" i="55"/>
  <c r="F86" i="55"/>
  <c r="O17" i="26"/>
  <c r="AH60" i="26"/>
  <c r="AI16" i="26" s="1"/>
  <c r="S43" i="30"/>
  <c r="I26" i="21"/>
  <c r="H4" i="50"/>
  <c r="O91" i="59"/>
  <c r="O89" i="59" s="1"/>
  <c r="O92" i="59" s="1"/>
  <c r="M49" i="20"/>
  <c r="M50" i="20" s="1"/>
  <c r="F2" i="50"/>
  <c r="H25" i="21"/>
  <c r="D104" i="55"/>
  <c r="D72" i="55"/>
  <c r="E41" i="75"/>
  <c r="V104" i="26"/>
  <c r="V98" i="75"/>
  <c r="V97" i="75" s="1"/>
  <c r="V100" i="75" s="1"/>
  <c r="V27" i="75"/>
  <c r="V26" i="75" s="1"/>
  <c r="V29" i="75" s="1"/>
  <c r="V42" i="75"/>
  <c r="C85" i="21"/>
  <c r="C87" i="21" s="1"/>
  <c r="W15" i="21"/>
  <c r="K25" i="21"/>
  <c r="F33" i="59"/>
  <c r="AA13" i="30"/>
  <c r="AA11" i="30" s="1"/>
  <c r="AA46" i="30" s="1"/>
  <c r="F6" i="35" s="1"/>
  <c r="G8" i="55" s="1"/>
  <c r="E22" i="21"/>
  <c r="O40" i="30" s="1"/>
  <c r="O39" i="30"/>
  <c r="W95" i="59"/>
  <c r="V95" i="59"/>
  <c r="V94" i="59" s="1"/>
  <c r="U95" i="59"/>
  <c r="U94" i="59" s="1"/>
  <c r="H31" i="59"/>
  <c r="H33" i="59" s="1"/>
  <c r="J93" i="59"/>
  <c r="T38" i="75"/>
  <c r="T99" i="75"/>
  <c r="T97" i="75" s="1"/>
  <c r="T100" i="75" s="1"/>
  <c r="Y38" i="59"/>
  <c r="C18" i="35"/>
  <c r="D20" i="55" s="1"/>
  <c r="X34" i="75"/>
  <c r="X99" i="75" s="1"/>
  <c r="X24" i="75"/>
  <c r="X28" i="75" s="1"/>
  <c r="X26" i="75" s="1"/>
  <c r="Y85" i="75"/>
  <c r="E13" i="55"/>
  <c r="W32" i="80"/>
  <c r="I41" i="75"/>
  <c r="N17" i="38"/>
  <c r="D113" i="55"/>
  <c r="D81" i="55"/>
  <c r="K75" i="48"/>
  <c r="K82" i="48" s="1"/>
  <c r="L33" i="48"/>
  <c r="K38" i="48"/>
  <c r="J35" i="76"/>
  <c r="I35" i="76"/>
  <c r="D105" i="55"/>
  <c r="D73" i="55"/>
  <c r="AA17" i="75"/>
  <c r="AB10" i="33"/>
  <c r="AA17" i="59"/>
  <c r="F12" i="35"/>
  <c r="G14" i="55" s="1"/>
  <c r="H22" i="33"/>
  <c r="AD57" i="30"/>
  <c r="U15" i="30"/>
  <c r="AD52" i="30" s="1"/>
  <c r="U13" i="30"/>
  <c r="AC96" i="59"/>
  <c r="AC98" i="59" s="1"/>
  <c r="AC97" i="59"/>
  <c r="I113" i="55"/>
  <c r="I81" i="55"/>
  <c r="N49" i="20"/>
  <c r="N50" i="20" s="1"/>
  <c r="G2" i="50"/>
  <c r="K72" i="48"/>
  <c r="K79" i="48" s="1"/>
  <c r="K34" i="48"/>
  <c r="L30" i="48"/>
  <c r="T30" i="59"/>
  <c r="M5" i="50" s="1"/>
  <c r="T91" i="59"/>
  <c r="T89" i="59" s="1"/>
  <c r="T92" i="59" s="1"/>
  <c r="F16" i="35"/>
  <c r="G18" i="55" s="1"/>
  <c r="H114" i="55"/>
  <c r="H82" i="55"/>
  <c r="Q43" i="30"/>
  <c r="G26" i="21"/>
  <c r="F103" i="55"/>
  <c r="F71" i="55"/>
  <c r="W43" i="30"/>
  <c r="M26" i="21"/>
  <c r="H81" i="55"/>
  <c r="H113" i="55"/>
  <c r="Y10" i="26"/>
  <c r="D10" i="35"/>
  <c r="E12" i="55" s="1"/>
  <c r="J39" i="75"/>
  <c r="J41" i="75" s="1"/>
  <c r="K101" i="75"/>
  <c r="S19" i="38"/>
  <c r="L18" i="38"/>
  <c r="N18" i="38" s="1"/>
  <c r="AE12" i="30"/>
  <c r="T43" i="30"/>
  <c r="J26" i="21"/>
  <c r="I82" i="55"/>
  <c r="I114" i="55"/>
  <c r="E33" i="59"/>
  <c r="F25" i="21"/>
  <c r="V103" i="75"/>
  <c r="U103" i="75"/>
  <c r="U102" i="75" s="1"/>
  <c r="H39" i="75"/>
  <c r="H41" i="75" s="1"/>
  <c r="U97" i="75"/>
  <c r="U100" i="75" s="1"/>
  <c r="K109" i="75"/>
  <c r="K37" i="75" s="1"/>
  <c r="L43" i="76" l="1"/>
  <c r="K43" i="76"/>
  <c r="M43" i="76" s="1"/>
  <c r="L34" i="76"/>
  <c r="K34" i="76"/>
  <c r="M28" i="20"/>
  <c r="M12" i="20"/>
  <c r="L36" i="48"/>
  <c r="L73" i="48"/>
  <c r="E76" i="55"/>
  <c r="E108" i="55"/>
  <c r="AB17" i="75"/>
  <c r="AC10" i="33"/>
  <c r="AB17" i="59"/>
  <c r="G12" i="35"/>
  <c r="H14" i="55" s="1"/>
  <c r="Y34" i="75"/>
  <c r="Y99" i="75" s="1"/>
  <c r="Y24" i="75"/>
  <c r="Y28" i="75" s="1"/>
  <c r="Y26" i="75" s="1"/>
  <c r="Z85" i="75"/>
  <c r="G104" i="55"/>
  <c r="G72" i="55"/>
  <c r="AH17" i="26"/>
  <c r="O20" i="26"/>
  <c r="O101" i="26" s="1"/>
  <c r="O96" i="26" s="1"/>
  <c r="G103" i="55"/>
  <c r="G71" i="55"/>
  <c r="AF11" i="20"/>
  <c r="J4" i="35"/>
  <c r="G13" i="76"/>
  <c r="F14" i="76"/>
  <c r="AD138" i="48"/>
  <c r="AC23" i="48"/>
  <c r="AC19" i="48" s="1"/>
  <c r="H20" i="35" s="1"/>
  <c r="I22" i="55" s="1"/>
  <c r="F109" i="55"/>
  <c r="F77" i="55"/>
  <c r="AD50" i="30"/>
  <c r="U12" i="30"/>
  <c r="AD49" i="30" s="1"/>
  <c r="L75" i="48"/>
  <c r="L38" i="48"/>
  <c r="AD96" i="59"/>
  <c r="AD98" i="59" s="1"/>
  <c r="AD97" i="59" s="1"/>
  <c r="L72" i="48"/>
  <c r="L34" i="48"/>
  <c r="J31" i="59"/>
  <c r="K93" i="59"/>
  <c r="J101" i="59"/>
  <c r="J29" i="59" s="1"/>
  <c r="AC15" i="30"/>
  <c r="AC13" i="30"/>
  <c r="AC11" i="30" s="1"/>
  <c r="AC46" i="30" s="1"/>
  <c r="H6" i="35" s="1"/>
  <c r="I8" i="55" s="1"/>
  <c r="AD17" i="30"/>
  <c r="E72" i="55"/>
  <c r="E104" i="55"/>
  <c r="G5" i="35"/>
  <c r="H7" i="55" s="1"/>
  <c r="AC27" i="20"/>
  <c r="Z55" i="48"/>
  <c r="Y55" i="48"/>
  <c r="AB55" i="48"/>
  <c r="AA55" i="48"/>
  <c r="Y10" i="48"/>
  <c r="U43" i="30"/>
  <c r="AD80" i="30" s="1"/>
  <c r="K26" i="21"/>
  <c r="AA104" i="75"/>
  <c r="AA106" i="75" s="1"/>
  <c r="AA105" i="75" s="1"/>
  <c r="D114" i="55"/>
  <c r="D82" i="55"/>
  <c r="T45" i="38"/>
  <c r="P45" i="38" s="1"/>
  <c r="R45" i="38" s="1"/>
  <c r="R46" i="38" s="1"/>
  <c r="R47" i="38" s="1"/>
  <c r="P44" i="38"/>
  <c r="R44" i="38" s="1"/>
  <c r="Q49" i="20"/>
  <c r="Q50" i="20" s="1"/>
  <c r="J2" i="50"/>
  <c r="P12" i="20"/>
  <c r="P28" i="20"/>
  <c r="Z12" i="74"/>
  <c r="Y14" i="74"/>
  <c r="Y13" i="74" s="1"/>
  <c r="Y11" i="74"/>
  <c r="Y19" i="74" s="1"/>
  <c r="AA45" i="75"/>
  <c r="AB27" i="49"/>
  <c r="AA37" i="59"/>
  <c r="AA29" i="49"/>
  <c r="AA30" i="49" s="1"/>
  <c r="F11" i="35"/>
  <c r="G13" i="55" s="1"/>
  <c r="Z10" i="26"/>
  <c r="E10" i="35"/>
  <c r="F12" i="55" s="1"/>
  <c r="W103" i="75"/>
  <c r="V102" i="75"/>
  <c r="P43" i="30"/>
  <c r="F26" i="21"/>
  <c r="AB77" i="59"/>
  <c r="AA26" i="59"/>
  <c r="AA91" i="59" s="1"/>
  <c r="G120" i="55"/>
  <c r="G88" i="55"/>
  <c r="AB57" i="48"/>
  <c r="AA57" i="48"/>
  <c r="Z57" i="48"/>
  <c r="Y57" i="48"/>
  <c r="Y12" i="48"/>
  <c r="AF12" i="30"/>
  <c r="S20" i="38"/>
  <c r="L20" i="38" s="1"/>
  <c r="N20" i="38" s="1"/>
  <c r="L19" i="38"/>
  <c r="G114" i="55"/>
  <c r="G82" i="55"/>
  <c r="N12" i="20"/>
  <c r="N28" i="20"/>
  <c r="K35" i="76"/>
  <c r="L35" i="76"/>
  <c r="L36" i="76"/>
  <c r="D116" i="55"/>
  <c r="D84" i="55"/>
  <c r="X95" i="59"/>
  <c r="W94" i="59"/>
  <c r="AB25" i="48"/>
  <c r="G22" i="35" s="1"/>
  <c r="H24" i="55" s="1"/>
  <c r="AC140" i="48"/>
  <c r="AB58" i="48"/>
  <c r="AA58" i="48"/>
  <c r="Y58" i="48"/>
  <c r="Z58" i="48"/>
  <c r="Y14" i="48"/>
  <c r="Z14" i="48" s="1"/>
  <c r="AA14" i="48" s="1"/>
  <c r="V43" i="30"/>
  <c r="L26" i="21"/>
  <c r="E114" i="55"/>
  <c r="E82" i="55"/>
  <c r="H104" i="55"/>
  <c r="H72" i="55"/>
  <c r="S51" i="26"/>
  <c r="R15" i="26"/>
  <c r="R99" i="26"/>
  <c r="R50" i="26"/>
  <c r="O43" i="30"/>
  <c r="E26" i="21"/>
  <c r="L101" i="75"/>
  <c r="K39" i="75"/>
  <c r="K41" i="75" s="1"/>
  <c r="G110" i="55"/>
  <c r="G78" i="55"/>
  <c r="Z59" i="48"/>
  <c r="Y59" i="48"/>
  <c r="AA59" i="48"/>
  <c r="AB59" i="48"/>
  <c r="X16" i="48"/>
  <c r="Z38" i="59"/>
  <c r="D18" i="35"/>
  <c r="E20" i="55" s="1"/>
  <c r="AD14" i="25"/>
  <c r="AD13" i="25" s="1"/>
  <c r="J44" i="76"/>
  <c r="I44" i="76"/>
  <c r="L37" i="48"/>
  <c r="L74" i="48"/>
  <c r="F114" i="55"/>
  <c r="F82" i="55"/>
  <c r="E109" i="55"/>
  <c r="E77" i="55"/>
  <c r="R43" i="30"/>
  <c r="H26" i="21"/>
  <c r="S35" i="38"/>
  <c r="O34" i="38"/>
  <c r="Q34" i="38" s="1"/>
  <c r="G46" i="76"/>
  <c r="H46" i="76" s="1"/>
  <c r="H45" i="76"/>
  <c r="X16" i="59"/>
  <c r="Y20" i="25"/>
  <c r="C9" i="35"/>
  <c r="D11" i="55" s="1"/>
  <c r="X19" i="25"/>
  <c r="X14" i="75" s="1"/>
  <c r="H118" i="55"/>
  <c r="H86" i="55"/>
  <c r="AB104" i="75" l="1"/>
  <c r="AB106" i="75" s="1"/>
  <c r="AB105" i="75"/>
  <c r="AE96" i="59"/>
  <c r="AE98" i="59" s="1"/>
  <c r="AE97" i="59" s="1"/>
  <c r="AE58" i="48"/>
  <c r="AD58" i="48"/>
  <c r="AC58" i="48"/>
  <c r="AF58" i="48"/>
  <c r="AG58" i="48"/>
  <c r="AC77" i="59"/>
  <c r="AB26" i="59"/>
  <c r="AB91" i="59" s="1"/>
  <c r="G77" i="55"/>
  <c r="G109" i="55"/>
  <c r="AG55" i="48"/>
  <c r="AF55" i="48"/>
  <c r="AE55" i="48"/>
  <c r="AD55" i="48"/>
  <c r="M34" i="48"/>
  <c r="AC55" i="48"/>
  <c r="H13" i="76"/>
  <c r="G14" i="76"/>
  <c r="D75" i="55"/>
  <c r="D107" i="55"/>
  <c r="N19" i="38"/>
  <c r="N46" i="38" s="1"/>
  <c r="N47" i="38" s="1"/>
  <c r="L46" i="38"/>
  <c r="L47" i="38" s="1"/>
  <c r="AD15" i="30"/>
  <c r="AD13" i="30"/>
  <c r="AD11" i="30" s="1"/>
  <c r="AD46" i="30" s="1"/>
  <c r="I6" i="35" s="1"/>
  <c r="AE17" i="30"/>
  <c r="E84" i="55"/>
  <c r="E116" i="55"/>
  <c r="S36" i="38"/>
  <c r="O36" i="38" s="1"/>
  <c r="O35" i="38"/>
  <c r="Q35" i="38" s="1"/>
  <c r="AA12" i="74"/>
  <c r="Z14" i="74"/>
  <c r="Z13" i="74" s="1"/>
  <c r="Z11" i="74" s="1"/>
  <c r="Z19" i="74" s="1"/>
  <c r="Y14" i="75"/>
  <c r="Z20" i="25"/>
  <c r="D9" i="35"/>
  <c r="Y11" i="25"/>
  <c r="Y19" i="25" s="1"/>
  <c r="D8" i="35" s="1"/>
  <c r="E10" i="55" s="1"/>
  <c r="L44" i="76"/>
  <c r="K44" i="76"/>
  <c r="M44" i="76" s="1"/>
  <c r="AA10" i="26"/>
  <c r="F10" i="35"/>
  <c r="G12" i="55" s="1"/>
  <c r="I104" i="55"/>
  <c r="I72" i="55"/>
  <c r="Z34" i="75"/>
  <c r="Z99" i="75" s="1"/>
  <c r="Z24" i="75"/>
  <c r="Z28" i="75" s="1"/>
  <c r="Z26" i="75" s="1"/>
  <c r="AA85" i="75"/>
  <c r="M34" i="76"/>
  <c r="J46" i="76"/>
  <c r="I46" i="76"/>
  <c r="T51" i="26"/>
  <c r="S15" i="26"/>
  <c r="S20" i="26" s="1"/>
  <c r="S101" i="26" s="1"/>
  <c r="S50" i="26"/>
  <c r="S99" i="26"/>
  <c r="X125" i="48"/>
  <c r="Y125" i="48" s="1"/>
  <c r="Z125" i="48" s="1"/>
  <c r="AA125" i="48" s="1"/>
  <c r="AB125" i="48" s="1"/>
  <c r="AC125" i="48" s="1"/>
  <c r="AD125" i="48" s="1"/>
  <c r="AE125" i="48" s="1"/>
  <c r="AF125" i="48" s="1"/>
  <c r="AG125" i="48" s="1"/>
  <c r="Y16" i="48"/>
  <c r="C21" i="35"/>
  <c r="D23" i="55" s="1"/>
  <c r="AC25" i="48"/>
  <c r="H22" i="35" s="1"/>
  <c r="I24" i="55" s="1"/>
  <c r="AD140" i="48"/>
  <c r="M35" i="76"/>
  <c r="M36" i="76"/>
  <c r="AB45" i="75"/>
  <c r="AB37" i="59"/>
  <c r="AC27" i="49"/>
  <c r="AB29" i="49"/>
  <c r="AB30" i="49" s="1"/>
  <c r="G11" i="35"/>
  <c r="H13" i="55" s="1"/>
  <c r="Q12" i="20"/>
  <c r="Q28" i="20"/>
  <c r="H103" i="55"/>
  <c r="H71" i="55"/>
  <c r="X15" i="59"/>
  <c r="X14" i="59" s="1"/>
  <c r="X90" i="59" s="1"/>
  <c r="X89" i="59" s="1"/>
  <c r="X92" i="59" s="1"/>
  <c r="C8" i="35"/>
  <c r="D10" i="55" s="1"/>
  <c r="M101" i="75"/>
  <c r="L39" i="75"/>
  <c r="L109" i="75"/>
  <c r="L37" i="75" s="1"/>
  <c r="H5" i="35"/>
  <c r="I7" i="55" s="1"/>
  <c r="AD27" i="20"/>
  <c r="AG11" i="20"/>
  <c r="L4" i="35" s="1"/>
  <c r="K4" i="35"/>
  <c r="I45" i="76"/>
  <c r="J45" i="76" s="1"/>
  <c r="R20" i="26"/>
  <c r="R101" i="26" s="1"/>
  <c r="R96" i="26" s="1"/>
  <c r="H120" i="55"/>
  <c r="H88" i="55"/>
  <c r="AG12" i="30"/>
  <c r="X103" i="75"/>
  <c r="W102" i="75"/>
  <c r="Z10" i="48"/>
  <c r="Y9" i="48"/>
  <c r="W38" i="80"/>
  <c r="I86" i="55"/>
  <c r="I118" i="55"/>
  <c r="H110" i="55"/>
  <c r="H78" i="55"/>
  <c r="F76" i="55"/>
  <c r="F108" i="55"/>
  <c r="P46" i="38"/>
  <c r="P47" i="38" s="1"/>
  <c r="K31" i="59"/>
  <c r="L93" i="59"/>
  <c r="K101" i="59"/>
  <c r="K29" i="59" s="1"/>
  <c r="AG59" i="48"/>
  <c r="AF59" i="48"/>
  <c r="AE59" i="48"/>
  <c r="AD59" i="48"/>
  <c r="AC59" i="48"/>
  <c r="AE138" i="48"/>
  <c r="AD23" i="48"/>
  <c r="AD19" i="48" s="1"/>
  <c r="I20" i="35" s="1"/>
  <c r="O49" i="20"/>
  <c r="O50" i="20" s="1"/>
  <c r="H2" i="50"/>
  <c r="AG57" i="48"/>
  <c r="AF57" i="48"/>
  <c r="AD57" i="48"/>
  <c r="AE57" i="48"/>
  <c r="AC57" i="48"/>
  <c r="AA38" i="59"/>
  <c r="E18" i="35"/>
  <c r="F20" i="55" s="1"/>
  <c r="AB14" i="48"/>
  <c r="AC14" i="48" s="1"/>
  <c r="AD14" i="48" s="1"/>
  <c r="AE14" i="48" s="1"/>
  <c r="AF14" i="48" s="1"/>
  <c r="AG14" i="48" s="1"/>
  <c r="Y95" i="59"/>
  <c r="X94" i="59"/>
  <c r="Z12" i="48"/>
  <c r="AA12" i="48" s="1"/>
  <c r="AB12" i="48" s="1"/>
  <c r="AC12" i="48" s="1"/>
  <c r="AD12" i="48" s="1"/>
  <c r="AE12" i="48" s="1"/>
  <c r="AF12" i="48" s="1"/>
  <c r="AG12" i="48" s="1"/>
  <c r="W37" i="80"/>
  <c r="J33" i="59"/>
  <c r="C3" i="50" s="1"/>
  <c r="AC17" i="75"/>
  <c r="AD10" i="33"/>
  <c r="AC17" i="59"/>
  <c r="H12" i="35"/>
  <c r="I14" i="55" s="1"/>
  <c r="L45" i="76" l="1"/>
  <c r="K45" i="76"/>
  <c r="J47" i="76"/>
  <c r="L47" i="76" s="1"/>
  <c r="AF96" i="59"/>
  <c r="AF98" i="59" s="1"/>
  <c r="AF97" i="59" s="1"/>
  <c r="R49" i="20"/>
  <c r="R50" i="20" s="1"/>
  <c r="K2" i="50"/>
  <c r="D87" i="55"/>
  <c r="D119" i="55"/>
  <c r="K46" i="76"/>
  <c r="M46" i="76" s="1"/>
  <c r="L46" i="76"/>
  <c r="H14" i="76"/>
  <c r="I13" i="76"/>
  <c r="AE27" i="20"/>
  <c r="I5" i="35"/>
  <c r="Z16" i="48"/>
  <c r="D21" i="35"/>
  <c r="E23" i="55" s="1"/>
  <c r="K33" i="59"/>
  <c r="D3" i="50" s="1"/>
  <c r="I103" i="55"/>
  <c r="I71" i="55"/>
  <c r="AD77" i="59"/>
  <c r="AC26" i="59"/>
  <c r="AC91" i="59" s="1"/>
  <c r="AF138" i="48"/>
  <c r="AE23" i="48"/>
  <c r="AE19" i="48" s="1"/>
  <c r="J20" i="35" s="1"/>
  <c r="Y26" i="48"/>
  <c r="D19" i="35"/>
  <c r="E21" i="55" s="1"/>
  <c r="S96" i="26"/>
  <c r="AA34" i="75"/>
  <c r="AA99" i="75" s="1"/>
  <c r="AA24" i="75"/>
  <c r="AA28" i="75" s="1"/>
  <c r="AA26" i="75" s="1"/>
  <c r="AB85" i="75"/>
  <c r="AB12" i="74"/>
  <c r="AA14" i="74"/>
  <c r="AA13" i="74" s="1"/>
  <c r="AA11" i="74" s="1"/>
  <c r="AA19" i="74" s="1"/>
  <c r="F84" i="55"/>
  <c r="F116" i="55"/>
  <c r="AC45" i="75"/>
  <c r="AC37" i="59"/>
  <c r="AC29" i="49"/>
  <c r="AC30" i="49" s="1"/>
  <c r="AD27" i="49"/>
  <c r="H11" i="35"/>
  <c r="I13" i="55" s="1"/>
  <c r="AE13" i="30"/>
  <c r="AE11" i="30" s="1"/>
  <c r="AE46" i="30" s="1"/>
  <c r="J6" i="35" s="1"/>
  <c r="AF17" i="30"/>
  <c r="AE15" i="30"/>
  <c r="AB38" i="59"/>
  <c r="F18" i="35"/>
  <c r="G20" i="55" s="1"/>
  <c r="E106" i="55"/>
  <c r="E74" i="55"/>
  <c r="I78" i="55"/>
  <c r="I110" i="55"/>
  <c r="L41" i="75"/>
  <c r="H77" i="55"/>
  <c r="H109" i="55"/>
  <c r="AD25" i="48"/>
  <c r="I22" i="35" s="1"/>
  <c r="AE140" i="48"/>
  <c r="W33" i="80"/>
  <c r="E11" i="55"/>
  <c r="Q36" i="38"/>
  <c r="Q46" i="38" s="1"/>
  <c r="Q47" i="38" s="1"/>
  <c r="O46" i="38"/>
  <c r="O47" i="38" s="1"/>
  <c r="O28" i="20"/>
  <c r="O12" i="20"/>
  <c r="G108" i="55"/>
  <c r="G76" i="55"/>
  <c r="L31" i="59"/>
  <c r="M93" i="59"/>
  <c r="L101" i="59"/>
  <c r="L29" i="59" s="1"/>
  <c r="AA10" i="48"/>
  <c r="Z9" i="48"/>
  <c r="Y94" i="59"/>
  <c r="Z95" i="59"/>
  <c r="X102" i="75"/>
  <c r="Y103" i="75"/>
  <c r="N101" i="75"/>
  <c r="M39" i="75"/>
  <c r="M41" i="75" s="1"/>
  <c r="M109" i="75"/>
  <c r="M37" i="75" s="1"/>
  <c r="I120" i="55"/>
  <c r="I88" i="55"/>
  <c r="U51" i="26"/>
  <c r="T15" i="26"/>
  <c r="T20" i="26" s="1"/>
  <c r="T101" i="26" s="1"/>
  <c r="T99" i="26"/>
  <c r="T50" i="26"/>
  <c r="Z14" i="75"/>
  <c r="Z14" i="59"/>
  <c r="AA20" i="25"/>
  <c r="E9" i="35"/>
  <c r="F11" i="55" s="1"/>
  <c r="Z11" i="25"/>
  <c r="Z19" i="25" s="1"/>
  <c r="E8" i="35" s="1"/>
  <c r="F10" i="55" s="1"/>
  <c r="AC105" i="75"/>
  <c r="AC104" i="75"/>
  <c r="AC106" i="75" s="1"/>
  <c r="AE10" i="33"/>
  <c r="I12" i="35"/>
  <c r="I22" i="33"/>
  <c r="D106" i="55"/>
  <c r="D74" i="55"/>
  <c r="AB10" i="26"/>
  <c r="G10" i="35"/>
  <c r="H12" i="55" s="1"/>
  <c r="Y14" i="59"/>
  <c r="AC12" i="74" l="1"/>
  <c r="AB14" i="74"/>
  <c r="AB13" i="74" s="1"/>
  <c r="AB11" i="74" s="1"/>
  <c r="AB19" i="74" s="1"/>
  <c r="AG138" i="48"/>
  <c r="AG23" i="48" s="1"/>
  <c r="AG19" i="48" s="1"/>
  <c r="L20" i="35" s="1"/>
  <c r="AF23" i="48"/>
  <c r="AF19" i="48" s="1"/>
  <c r="K20" i="35" s="1"/>
  <c r="AA16" i="48"/>
  <c r="E21" i="35"/>
  <c r="F23" i="55" s="1"/>
  <c r="AB10" i="48"/>
  <c r="AA9" i="48"/>
  <c r="G116" i="55"/>
  <c r="G84" i="55"/>
  <c r="H10" i="35"/>
  <c r="I12" i="55" s="1"/>
  <c r="AC10" i="26"/>
  <c r="AB34" i="75"/>
  <c r="AB99" i="75" s="1"/>
  <c r="AB24" i="75"/>
  <c r="AB28" i="75" s="1"/>
  <c r="AB26" i="75" s="1"/>
  <c r="AC85" i="75"/>
  <c r="F107" i="55"/>
  <c r="F75" i="55"/>
  <c r="AD29" i="49"/>
  <c r="I10" i="35" s="1"/>
  <c r="AE27" i="49"/>
  <c r="I11" i="35"/>
  <c r="Z26" i="48"/>
  <c r="E19" i="35"/>
  <c r="F21" i="55" s="1"/>
  <c r="AF10" i="33"/>
  <c r="J12" i="35"/>
  <c r="AC38" i="59"/>
  <c r="G18" i="35"/>
  <c r="H20" i="55" s="1"/>
  <c r="AE77" i="59"/>
  <c r="AD26" i="59"/>
  <c r="AD91" i="59" s="1"/>
  <c r="AF27" i="20"/>
  <c r="K5" i="35" s="1"/>
  <c r="J5" i="35"/>
  <c r="R12" i="20"/>
  <c r="R28" i="20"/>
  <c r="E119" i="55"/>
  <c r="E87" i="55"/>
  <c r="AA14" i="75"/>
  <c r="AA14" i="59"/>
  <c r="AB20" i="25"/>
  <c r="F9" i="35"/>
  <c r="G11" i="55" s="1"/>
  <c r="AA11" i="25"/>
  <c r="AA19" i="25" s="1"/>
  <c r="F8" i="35" s="1"/>
  <c r="G10" i="55" s="1"/>
  <c r="O101" i="75"/>
  <c r="N39" i="75"/>
  <c r="N41" i="75" s="1"/>
  <c r="N109" i="75"/>
  <c r="N37" i="75" s="1"/>
  <c r="H108" i="55"/>
  <c r="H76" i="55"/>
  <c r="T96" i="26"/>
  <c r="Y102" i="75"/>
  <c r="Z103" i="75"/>
  <c r="L33" i="59"/>
  <c r="E3" i="50" s="1"/>
  <c r="AF13" i="30"/>
  <c r="AF11" i="30" s="1"/>
  <c r="AF46" i="30" s="1"/>
  <c r="K6" i="35" s="1"/>
  <c r="AG17" i="30"/>
  <c r="AF15" i="30"/>
  <c r="L2" i="50"/>
  <c r="S49" i="20"/>
  <c r="S50" i="20" s="1"/>
  <c r="E107" i="55"/>
  <c r="E75" i="55"/>
  <c r="AE25" i="48"/>
  <c r="J22" i="35" s="1"/>
  <c r="AF140" i="48"/>
  <c r="E117" i="55"/>
  <c r="E85" i="55"/>
  <c r="M31" i="59"/>
  <c r="N93" i="59"/>
  <c r="M101" i="59"/>
  <c r="M29" i="59" s="1"/>
  <c r="I14" i="76"/>
  <c r="J13" i="76"/>
  <c r="AD104" i="75"/>
  <c r="AD106" i="75" s="1"/>
  <c r="AD105" i="75" s="1"/>
  <c r="F106" i="55"/>
  <c r="F74" i="55"/>
  <c r="U15" i="26"/>
  <c r="U20" i="26" s="1"/>
  <c r="U101" i="26" s="1"/>
  <c r="U50" i="26"/>
  <c r="U99" i="26"/>
  <c r="U96" i="26" s="1"/>
  <c r="V51" i="26"/>
  <c r="Z94" i="59"/>
  <c r="AA95" i="59"/>
  <c r="I109" i="55"/>
  <c r="I77" i="55"/>
  <c r="M45" i="76"/>
  <c r="K47" i="76"/>
  <c r="M47" i="76" s="1"/>
  <c r="AD30" i="49" l="1"/>
  <c r="AE104" i="75"/>
  <c r="AE106" i="75" s="1"/>
  <c r="AE105" i="75" s="1"/>
  <c r="AC14" i="74"/>
  <c r="AC13" i="74" s="1"/>
  <c r="AC11" i="74"/>
  <c r="AC19" i="74" s="1"/>
  <c r="J14" i="76"/>
  <c r="K13" i="76"/>
  <c r="AF25" i="48"/>
  <c r="K22" i="35" s="1"/>
  <c r="AG140" i="48"/>
  <c r="AG25" i="48" s="1"/>
  <c r="L22" i="35" s="1"/>
  <c r="H116" i="55"/>
  <c r="H84" i="55"/>
  <c r="F119" i="55"/>
  <c r="F87" i="55"/>
  <c r="AG10" i="33"/>
  <c r="L12" i="35" s="1"/>
  <c r="K12" i="35"/>
  <c r="U49" i="20"/>
  <c r="U50" i="20" s="1"/>
  <c r="N2" i="50"/>
  <c r="AD38" i="59"/>
  <c r="H18" i="35"/>
  <c r="I20" i="55" s="1"/>
  <c r="AE29" i="49"/>
  <c r="J10" i="35" s="1"/>
  <c r="AF27" i="49"/>
  <c r="J11" i="35"/>
  <c r="AB16" i="48"/>
  <c r="F21" i="35"/>
  <c r="G23" i="55" s="1"/>
  <c r="AA94" i="59"/>
  <c r="AB95" i="59"/>
  <c r="AC20" i="25"/>
  <c r="G9" i="35"/>
  <c r="H11" i="55" s="1"/>
  <c r="AB11" i="25"/>
  <c r="AB19" i="25" s="1"/>
  <c r="G8" i="35" s="1"/>
  <c r="H10" i="55" s="1"/>
  <c r="AD85" i="75"/>
  <c r="AE85" i="75" s="1"/>
  <c r="AF85" i="75" s="1"/>
  <c r="AG85" i="75" s="1"/>
  <c r="AC34" i="75"/>
  <c r="AC99" i="75" s="1"/>
  <c r="AC24" i="75"/>
  <c r="AC28" i="75" s="1"/>
  <c r="AC26" i="75" s="1"/>
  <c r="AF77" i="59"/>
  <c r="AE26" i="59"/>
  <c r="AE91" i="59" s="1"/>
  <c r="P101" i="75"/>
  <c r="O39" i="75"/>
  <c r="O109" i="75"/>
  <c r="O37" i="75" s="1"/>
  <c r="I108" i="55"/>
  <c r="I76" i="55"/>
  <c r="T49" i="20"/>
  <c r="T50" i="20" s="1"/>
  <c r="M2" i="50"/>
  <c r="AA26" i="48"/>
  <c r="F19" i="35"/>
  <c r="G21" i="55" s="1"/>
  <c r="AB9" i="48"/>
  <c r="AC10" i="48"/>
  <c r="V50" i="26"/>
  <c r="V99" i="26"/>
  <c r="V15" i="26"/>
  <c r="V20" i="26" s="1"/>
  <c r="V101" i="26" s="1"/>
  <c r="W51" i="26"/>
  <c r="AG13" i="30"/>
  <c r="AG11" i="30" s="1"/>
  <c r="AG15" i="30"/>
  <c r="N31" i="59"/>
  <c r="O93" i="59"/>
  <c r="N101" i="59"/>
  <c r="N29" i="59" s="1"/>
  <c r="Z102" i="75"/>
  <c r="AA103" i="75"/>
  <c r="G106" i="55"/>
  <c r="G74" i="55"/>
  <c r="F117" i="55"/>
  <c r="F85" i="55"/>
  <c r="M33" i="59"/>
  <c r="F3" i="50" s="1"/>
  <c r="S12" i="20"/>
  <c r="S28" i="20"/>
  <c r="G107" i="55"/>
  <c r="G75" i="55"/>
  <c r="AF104" i="75" l="1"/>
  <c r="AF106" i="75" s="1"/>
  <c r="AF105" i="75" s="1"/>
  <c r="AE38" i="59"/>
  <c r="I18" i="35"/>
  <c r="H106" i="55"/>
  <c r="H74" i="55"/>
  <c r="Q101" i="75"/>
  <c r="P39" i="75"/>
  <c r="P109" i="75"/>
  <c r="P37" i="75" s="1"/>
  <c r="AB14" i="59"/>
  <c r="U28" i="20"/>
  <c r="U12" i="20"/>
  <c r="AB26" i="48"/>
  <c r="G19" i="35"/>
  <c r="H21" i="55" s="1"/>
  <c r="G119" i="55"/>
  <c r="G87" i="55"/>
  <c r="G85" i="55"/>
  <c r="G117" i="55"/>
  <c r="AC16" i="48"/>
  <c r="G21" i="35"/>
  <c r="H23" i="55" s="1"/>
  <c r="W50" i="26"/>
  <c r="W99" i="26"/>
  <c r="X51" i="26"/>
  <c r="W15" i="26"/>
  <c r="W20" i="26" s="1"/>
  <c r="W101" i="26" s="1"/>
  <c r="H107" i="55"/>
  <c r="H75" i="55"/>
  <c r="AG77" i="59"/>
  <c r="AG26" i="59" s="1"/>
  <c r="AG91" i="59" s="1"/>
  <c r="AF26" i="59"/>
  <c r="AF91" i="59" s="1"/>
  <c r="L13" i="76"/>
  <c r="K14" i="76"/>
  <c r="V96" i="26"/>
  <c r="AB14" i="75"/>
  <c r="AE30" i="49"/>
  <c r="O41" i="75"/>
  <c r="AA102" i="75"/>
  <c r="AB103" i="75"/>
  <c r="AG27" i="49"/>
  <c r="AF29" i="49"/>
  <c r="K10" i="35" s="1"/>
  <c r="K11" i="35"/>
  <c r="AB94" i="59"/>
  <c r="AC95" i="59"/>
  <c r="N33" i="59"/>
  <c r="G3" i="50" s="1"/>
  <c r="D127" i="59"/>
  <c r="T28" i="20"/>
  <c r="T12" i="20"/>
  <c r="AC14" i="75"/>
  <c r="AC14" i="59"/>
  <c r="AD20" i="25"/>
  <c r="H9" i="35"/>
  <c r="I11" i="55" s="1"/>
  <c r="AC11" i="25"/>
  <c r="AC19" i="25" s="1"/>
  <c r="H8" i="35" s="1"/>
  <c r="I10" i="55" s="1"/>
  <c r="P93" i="59"/>
  <c r="O31" i="59"/>
  <c r="O101" i="59"/>
  <c r="O29" i="59" s="1"/>
  <c r="AC9" i="48"/>
  <c r="AD10" i="48"/>
  <c r="D135" i="75"/>
  <c r="I116" i="55"/>
  <c r="I84" i="55"/>
  <c r="AG29" i="49" l="1"/>
  <c r="L10" i="35" s="1"/>
  <c r="L11" i="35"/>
  <c r="W96" i="26"/>
  <c r="H85" i="55"/>
  <c r="H117" i="55"/>
  <c r="AD9" i="48"/>
  <c r="AE10" i="48"/>
  <c r="V49" i="20"/>
  <c r="V50" i="20" s="1"/>
  <c r="O2" i="50"/>
  <c r="AF30" i="49"/>
  <c r="M13" i="76"/>
  <c r="L14" i="76"/>
  <c r="AB102" i="75"/>
  <c r="AC103" i="75"/>
  <c r="H119" i="55"/>
  <c r="H87" i="55"/>
  <c r="R101" i="75"/>
  <c r="Q39" i="75"/>
  <c r="Q41" i="75" s="1"/>
  <c r="Q109" i="75"/>
  <c r="Q37" i="75" s="1"/>
  <c r="I74" i="55"/>
  <c r="I106" i="55"/>
  <c r="AD16" i="48"/>
  <c r="H21" i="35"/>
  <c r="I23" i="55" s="1"/>
  <c r="AF38" i="59"/>
  <c r="J18" i="35"/>
  <c r="P41" i="75"/>
  <c r="X50" i="26"/>
  <c r="AH50" i="26" s="1"/>
  <c r="X99" i="26"/>
  <c r="X15" i="26"/>
  <c r="AH51" i="26"/>
  <c r="AI15" i="26" s="1"/>
  <c r="Q93" i="59"/>
  <c r="P31" i="59"/>
  <c r="P101" i="59"/>
  <c r="P29" i="59" s="1"/>
  <c r="I107" i="55"/>
  <c r="I75" i="55"/>
  <c r="AC94" i="59"/>
  <c r="AD95" i="59"/>
  <c r="AC26" i="48"/>
  <c r="H19" i="35"/>
  <c r="I21" i="55" s="1"/>
  <c r="O33" i="59"/>
  <c r="H3" i="50" s="1"/>
  <c r="I9" i="35"/>
  <c r="AE20" i="25"/>
  <c r="AD11" i="25"/>
  <c r="AD19" i="25" s="1"/>
  <c r="I8" i="35" s="1"/>
  <c r="P33" i="59" l="1"/>
  <c r="I3" i="50" s="1"/>
  <c r="N13" i="76"/>
  <c r="M14" i="76"/>
  <c r="W49" i="20"/>
  <c r="W50" i="20" s="1"/>
  <c r="P2" i="50"/>
  <c r="J9" i="35"/>
  <c r="AF20" i="25"/>
  <c r="K9" i="35" s="1"/>
  <c r="AD103" i="75"/>
  <c r="AC102" i="75"/>
  <c r="R93" i="59"/>
  <c r="Q31" i="59"/>
  <c r="Q33" i="59" s="1"/>
  <c r="J3" i="50" s="1"/>
  <c r="Q101" i="59"/>
  <c r="Q29" i="59" s="1"/>
  <c r="S101" i="75"/>
  <c r="R39" i="75"/>
  <c r="R109" i="75"/>
  <c r="R37" i="75" s="1"/>
  <c r="I117" i="55"/>
  <c r="I85" i="55"/>
  <c r="AG38" i="59"/>
  <c r="L18" i="35" s="1"/>
  <c r="K18" i="35"/>
  <c r="AD26" i="48"/>
  <c r="I19" i="35"/>
  <c r="AE95" i="59"/>
  <c r="AD94" i="59"/>
  <c r="AH15" i="26"/>
  <c r="I119" i="55"/>
  <c r="I87" i="55"/>
  <c r="V12" i="20"/>
  <c r="V28" i="20"/>
  <c r="AG30" i="49"/>
  <c r="AE16" i="48"/>
  <c r="I21" i="35"/>
  <c r="AE9" i="48"/>
  <c r="AF10" i="48"/>
  <c r="AF95" i="59" l="1"/>
  <c r="AF94" i="59" s="1"/>
  <c r="AE94" i="59"/>
  <c r="R41" i="75"/>
  <c r="S39" i="75"/>
  <c r="E135" i="75" s="1"/>
  <c r="T101" i="75"/>
  <c r="S109" i="75"/>
  <c r="S37" i="75" s="1"/>
  <c r="W12" i="20"/>
  <c r="W28" i="20"/>
  <c r="R31" i="59"/>
  <c r="S93" i="59"/>
  <c r="R101" i="59"/>
  <c r="R29" i="59" s="1"/>
  <c r="O13" i="76"/>
  <c r="O14" i="76" s="1"/>
  <c r="N14" i="76"/>
  <c r="AF9" i="48"/>
  <c r="AG10" i="48"/>
  <c r="AG9" i="48" s="1"/>
  <c r="AE26" i="48"/>
  <c r="J19" i="35"/>
  <c r="AF16" i="48"/>
  <c r="J21" i="35"/>
  <c r="Y20" i="26"/>
  <c r="X101" i="26"/>
  <c r="X96" i="26" s="1"/>
  <c r="AE103" i="75"/>
  <c r="AD102" i="75"/>
  <c r="X49" i="20" l="1"/>
  <c r="X50" i="20" s="1"/>
  <c r="Q2" i="50"/>
  <c r="C2" i="35"/>
  <c r="D4" i="55" s="1"/>
  <c r="Y101" i="26"/>
  <c r="Y96" i="26" s="1"/>
  <c r="Z20" i="26"/>
  <c r="Y11" i="26"/>
  <c r="Y9" i="26" s="1"/>
  <c r="AG26" i="48"/>
  <c r="L19" i="35"/>
  <c r="U101" i="75"/>
  <c r="T39" i="75"/>
  <c r="T109" i="75"/>
  <c r="T37" i="75" s="1"/>
  <c r="AG16" i="48"/>
  <c r="L21" i="35" s="1"/>
  <c r="K21" i="35"/>
  <c r="AF103" i="75"/>
  <c r="AF102" i="75" s="1"/>
  <c r="AE102" i="75"/>
  <c r="AF26" i="48"/>
  <c r="K19" i="35"/>
  <c r="S41" i="75"/>
  <c r="S31" i="59"/>
  <c r="T93" i="59"/>
  <c r="S101" i="59"/>
  <c r="S29" i="59" s="1"/>
  <c r="R33" i="59"/>
  <c r="K3" i="50" s="1"/>
  <c r="Z101" i="26" l="1"/>
  <c r="Z96" i="26" s="1"/>
  <c r="AA20" i="26"/>
  <c r="Z11" i="26"/>
  <c r="Z9" i="26" s="1"/>
  <c r="Y49" i="20"/>
  <c r="Y50" i="20" s="1"/>
  <c r="D2" i="35"/>
  <c r="E4" i="55" s="1"/>
  <c r="D100" i="55"/>
  <c r="D68" i="55"/>
  <c r="S33" i="59"/>
  <c r="L3" i="50" s="1"/>
  <c r="E127" i="59"/>
  <c r="T41" i="75"/>
  <c r="T31" i="59"/>
  <c r="U93" i="59"/>
  <c r="T101" i="59"/>
  <c r="T29" i="59" s="1"/>
  <c r="V101" i="75"/>
  <c r="U39" i="75"/>
  <c r="U41" i="75" s="1"/>
  <c r="U109" i="75"/>
  <c r="U37" i="75" s="1"/>
  <c r="X12" i="20"/>
  <c r="X28" i="20"/>
  <c r="U31" i="59" l="1"/>
  <c r="V93" i="59"/>
  <c r="U101" i="59"/>
  <c r="U29" i="59" s="1"/>
  <c r="E68" i="55"/>
  <c r="E100" i="55"/>
  <c r="T33" i="59"/>
  <c r="M3" i="50" s="1"/>
  <c r="Y12" i="20"/>
  <c r="Y28" i="20"/>
  <c r="W101" i="75"/>
  <c r="V39" i="75"/>
  <c r="V109" i="75"/>
  <c r="AB20" i="26"/>
  <c r="AA101" i="26"/>
  <c r="AA96" i="26" s="1"/>
  <c r="AA11" i="26"/>
  <c r="AA9" i="26" s="1"/>
  <c r="Z49" i="20"/>
  <c r="Z50" i="20" s="1"/>
  <c r="E2" i="35"/>
  <c r="F4" i="55" s="1"/>
  <c r="V37" i="75" l="1"/>
  <c r="W109" i="75"/>
  <c r="V43" i="75"/>
  <c r="V41" i="75"/>
  <c r="V52" i="75"/>
  <c r="AA49" i="20"/>
  <c r="AA50" i="20" s="1"/>
  <c r="F2" i="35"/>
  <c r="G4" i="55" s="1"/>
  <c r="F68" i="55"/>
  <c r="F100" i="55"/>
  <c r="X101" i="75"/>
  <c r="W39" i="75"/>
  <c r="V31" i="59"/>
  <c r="W93" i="59"/>
  <c r="V101" i="59"/>
  <c r="V29" i="59" s="1"/>
  <c r="AB101" i="26"/>
  <c r="AB96" i="26" s="1"/>
  <c r="AC20" i="26"/>
  <c r="AB11" i="26"/>
  <c r="AB9" i="26" s="1"/>
  <c r="Z12" i="20"/>
  <c r="Z28" i="20"/>
  <c r="U33" i="59"/>
  <c r="N3" i="50" s="1"/>
  <c r="AB49" i="20" l="1"/>
  <c r="AB50" i="20" s="1"/>
  <c r="G2" i="35"/>
  <c r="H4" i="55" s="1"/>
  <c r="AA12" i="20"/>
  <c r="AA28" i="20"/>
  <c r="G100" i="55"/>
  <c r="G68" i="55"/>
  <c r="W41" i="75"/>
  <c r="F135" i="75"/>
  <c r="AD20" i="26"/>
  <c r="AC101" i="26"/>
  <c r="AC96" i="26" s="1"/>
  <c r="AC11" i="26"/>
  <c r="AC9" i="26" s="1"/>
  <c r="X93" i="59"/>
  <c r="W31" i="59"/>
  <c r="W101" i="59"/>
  <c r="W29" i="59" s="1"/>
  <c r="V33" i="59"/>
  <c r="O3" i="50" s="1"/>
  <c r="V44" i="59"/>
  <c r="X39" i="75"/>
  <c r="Y101" i="75"/>
  <c r="X109" i="75"/>
  <c r="W37" i="75"/>
  <c r="W12" i="75" s="1"/>
  <c r="F133" i="75" s="1"/>
  <c r="F137" i="75" s="1"/>
  <c r="W33" i="59" l="1"/>
  <c r="P3" i="50" s="1"/>
  <c r="Y93" i="59"/>
  <c r="X31" i="59"/>
  <c r="X101" i="59"/>
  <c r="AC49" i="20"/>
  <c r="AC50" i="20" s="1"/>
  <c r="H2" i="35"/>
  <c r="I4" i="55" s="1"/>
  <c r="H100" i="55"/>
  <c r="H68" i="55"/>
  <c r="Y109" i="75"/>
  <c r="X37" i="75"/>
  <c r="X12" i="75" s="1"/>
  <c r="Z101" i="75"/>
  <c r="Y39" i="75"/>
  <c r="X41" i="75"/>
  <c r="F127" i="59"/>
  <c r="AE20" i="26"/>
  <c r="AD101" i="26"/>
  <c r="AD96" i="26" s="1"/>
  <c r="AD11" i="26"/>
  <c r="AD9" i="26" s="1"/>
  <c r="AB12" i="20"/>
  <c r="AB28" i="20"/>
  <c r="I100" i="55" l="1"/>
  <c r="I68" i="55"/>
  <c r="AC12" i="20"/>
  <c r="AC28" i="20"/>
  <c r="X29" i="59"/>
  <c r="X33" i="59" s="1"/>
  <c r="Y101" i="59"/>
  <c r="Z39" i="75"/>
  <c r="AA101" i="75"/>
  <c r="AF20" i="26"/>
  <c r="AE101" i="26"/>
  <c r="AE96" i="26" s="1"/>
  <c r="Y31" i="59"/>
  <c r="Z93" i="59"/>
  <c r="AD49" i="20"/>
  <c r="AD50" i="20" s="1"/>
  <c r="I2" i="35"/>
  <c r="Z109" i="75"/>
  <c r="Y37" i="75"/>
  <c r="Y12" i="75" s="1"/>
  <c r="C17" i="35" l="1"/>
  <c r="D19" i="55" s="1"/>
  <c r="Q3" i="50"/>
  <c r="Z101" i="59"/>
  <c r="Y29" i="59"/>
  <c r="Y12" i="59" s="1"/>
  <c r="AE49" i="20"/>
  <c r="AE50" i="20" s="1"/>
  <c r="J2" i="35"/>
  <c r="Y41" i="75"/>
  <c r="Z31" i="59"/>
  <c r="AA93" i="59"/>
  <c r="AG20" i="26"/>
  <c r="AG101" i="26" s="1"/>
  <c r="AG96" i="26" s="1"/>
  <c r="AF101" i="26"/>
  <c r="AF96" i="26" s="1"/>
  <c r="Y33" i="59"/>
  <c r="D17" i="35" s="1"/>
  <c r="E19" i="55" s="1"/>
  <c r="Z41" i="75"/>
  <c r="G135" i="75"/>
  <c r="AA109" i="75"/>
  <c r="Z37" i="75"/>
  <c r="Z12" i="75" s="1"/>
  <c r="AB101" i="75"/>
  <c r="AA39" i="75"/>
  <c r="AB109" i="75" l="1"/>
  <c r="AA37" i="75"/>
  <c r="AA12" i="75" s="1"/>
  <c r="E115" i="55"/>
  <c r="E83" i="55"/>
  <c r="AA41" i="75"/>
  <c r="AF49" i="20"/>
  <c r="AF50" i="20" s="1"/>
  <c r="K2" i="35"/>
  <c r="AA101" i="59"/>
  <c r="Z29" i="59"/>
  <c r="Z12" i="59" s="1"/>
  <c r="AC101" i="75"/>
  <c r="AB39" i="75"/>
  <c r="AG49" i="20"/>
  <c r="AG50" i="20" s="1"/>
  <c r="L2" i="35"/>
  <c r="Z33" i="59"/>
  <c r="E17" i="35" s="1"/>
  <c r="F19" i="55" s="1"/>
  <c r="G133" i="75"/>
  <c r="G137" i="75" s="1"/>
  <c r="AA31" i="59"/>
  <c r="AB93" i="59"/>
  <c r="D83" i="55"/>
  <c r="D115" i="55"/>
  <c r="F115" i="55" l="1"/>
  <c r="F83" i="55"/>
  <c r="AD101" i="75"/>
  <c r="AE101" i="75" s="1"/>
  <c r="AF101" i="75" s="1"/>
  <c r="AC39" i="75"/>
  <c r="AB31" i="59"/>
  <c r="AC93" i="59"/>
  <c r="AB41" i="75"/>
  <c r="AA33" i="59"/>
  <c r="F17" i="35" s="1"/>
  <c r="G19" i="55" s="1"/>
  <c r="G127" i="59"/>
  <c r="AB101" i="59"/>
  <c r="AA29" i="59"/>
  <c r="AA12" i="59" s="1"/>
  <c r="G125" i="59" s="1"/>
  <c r="G129" i="59" s="1"/>
  <c r="AC109" i="75"/>
  <c r="AB37" i="75"/>
  <c r="AB12" i="75" s="1"/>
  <c r="AC31" i="59" l="1"/>
  <c r="AD93" i="59"/>
  <c r="G115" i="55"/>
  <c r="G83" i="55"/>
  <c r="AB33" i="59"/>
  <c r="G17" i="35" s="1"/>
  <c r="H19" i="55" s="1"/>
  <c r="AD109" i="75"/>
  <c r="AE109" i="75" s="1"/>
  <c r="AF109" i="75" s="1"/>
  <c r="AC37" i="75"/>
  <c r="AC12" i="75" s="1"/>
  <c r="AC101" i="59"/>
  <c r="AB29" i="59"/>
  <c r="AB12" i="59" s="1"/>
  <c r="H115" i="55" l="1"/>
  <c r="H83" i="55"/>
  <c r="AC41" i="75"/>
  <c r="AD31" i="59"/>
  <c r="AE93" i="59"/>
  <c r="AD101" i="59"/>
  <c r="AC29" i="59"/>
  <c r="AC12" i="59" s="1"/>
  <c r="AE101" i="59" l="1"/>
  <c r="AD29" i="59"/>
  <c r="AC33" i="59"/>
  <c r="H17" i="35" s="1"/>
  <c r="I19" i="55" s="1"/>
  <c r="AF93" i="59"/>
  <c r="AF31" i="59" s="1"/>
  <c r="AE31" i="59"/>
  <c r="AD33" i="59"/>
  <c r="I17" i="35" s="1"/>
  <c r="I115" i="55" l="1"/>
  <c r="I83" i="55"/>
  <c r="AE29" i="59"/>
  <c r="AE33" i="59" s="1"/>
  <c r="J17" i="35" s="1"/>
  <c r="AF101" i="59"/>
  <c r="AF29" i="59" s="1"/>
  <c r="AF33" i="59" s="1"/>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tc={6EA59173-A6A4-4520-BC55-CD373EBDD6E4}</author>
    <author>tc={B7BB92B9-56AF-428A-90BE-8769E0F9A367}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25"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34"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8"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8"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D64"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65"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67"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68"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69"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87"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88"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89"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0"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1"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2"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3"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14" authorId="22"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37" authorId="23"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0" authorId="24"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0" authorId="25"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0" authorId="26"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1" authorId="27"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3" authorId="28"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5" authorId="29"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7" authorId="30"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3" authorId="31"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32"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33" shapeId="0" xr:uid="{00000000-0006-0000-1800-00002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34" shapeId="0" xr:uid="{00000000-0006-0000-1800-00002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61"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3"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4"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5"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6"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7"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8"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S23"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tc={A4AE190A-66EF-4BE0-914B-1F0EC2F52D33}</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tc={841D3E49-8453-4CAA-B45D-204C2642C983}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U2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O115"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36"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3" shapeId="0" xr:uid="{00000000-0006-0000-0E00-00000E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4" shapeId="0" xr:uid="{00000000-0006-0000-0E00-00000F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
Reply:
    We added 2 pp to the growth rate because of CBO's very low &amp; declining forecast</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7" authorId="5"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8" authorId="6" shapeId="0" xr:uid="{00000000-0006-0000-1100-00000A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<sst xmlns="http://schemas.openxmlformats.org/spreadsheetml/2006/main" count="5014" uniqueCount="2283">
  <si>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</si>
  <si>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</si>
  <si>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</si>
  <si>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</si>
  <si>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</si>
  <si>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</si>
  <si>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</si>
  <si>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</si>
  <si>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</si>
  <si>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</si>
  <si>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</si>
  <si>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</si>
  <si>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</si>
  <si>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</si>
  <si>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</si>
  <si>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</si>
  <si>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</si>
  <si>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</si>
  <si>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</si>
  <si>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</si>
  <si>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</si>
  <si>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</si>
  <si>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</si>
  <si>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</si>
  <si>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</si>
  <si>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</si>
  <si>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</si>
  <si>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</si>
  <si>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</si>
  <si>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</si>
  <si>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</si>
  <si>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</si>
  <si>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</si>
  <si>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</si>
  <si>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</si>
  <si>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</si>
  <si>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</si>
  <si>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</si>
  <si>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</si>
  <si>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</si>
  <si>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</si>
  <si>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</si>
  <si>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</si>
  <si>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</si>
  <si>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</si>
  <si>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</si>
  <si>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</si>
  <si>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</si>
  <si>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</si>
  <si>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</si>
  <si>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</si>
  <si>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</si>
  <si>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</si>
  <si>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</si>
  <si>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</si>
  <si>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</si>
  <si>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</si>
  <si>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</si>
  <si>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</si>
  <si>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</si>
  <si>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</si>
  <si>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</si>
  <si>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</si>
  <si>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</si>
  <si>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</si>
  <si>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</si>
  <si>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</si>
  <si>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</si>
  <si>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</si>
  <si>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</si>
  <si>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</si>
  <si>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</si>
  <si>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</si>
  <si>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</si>
  <si>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</si>
  <si>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</si>
  <si>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</si>
  <si>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</si>
  <si>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</si>
  <si>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</si>
  <si>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</si>
  <si>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</si>
  <si>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</si>
  <si>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</si>
  <si>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</si>
  <si>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</si>
  <si>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</si>
  <si>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</si>
  <si>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</si>
  <si>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</si>
  <si>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</si>
  <si>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</si>
  <si>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</si>
  <si>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</si>
  <si>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</si>
  <si>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</si>
  <si>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</si>
  <si>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</si>
  <si>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</si>
  <si>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</si>
  <si>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</si>
  <si>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</si>
  <si>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</si>
  <si>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</si>
  <si>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</si>
  <si>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</si>
  <si>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</si>
  <si>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</si>
  <si>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</si>
  <si>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</si>
  <si>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</si>
  <si>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</si>
  <si>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</si>
  <si>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</si>
  <si>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</si>
  <si>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</si>
  <si>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</si>
  <si>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</si>
  <si>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</si>
  <si>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</si>
  <si>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</si>
  <si>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</si>
  <si>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</si>
  <si>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</si>
  <si>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</si>
  <si>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</si>
  <si>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</si>
  <si>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</si>
  <si>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</si>
  <si>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</si>
  <si>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</si>
  <si>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</si>
  <si>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</si>
  <si>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</si>
  <si>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</si>
  <si>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</si>
  <si>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</si>
  <si>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</si>
  <si>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</si>
  <si>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</si>
  <si>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</si>
  <si>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</si>
  <si>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</si>
  <si>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</si>
  <si>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</si>
  <si>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</si>
  <si>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</si>
  <si>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</si>
  <si>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</si>
  <si>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</si>
  <si>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</si>
  <si>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</si>
  <si>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</si>
  <si>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</si>
  <si>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</si>
  <si>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</si>
  <si>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</si>
  <si>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</si>
  <si>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</si>
  <si>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</si>
  <si>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</si>
  <si>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</si>
  <si>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</si>
  <si>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</si>
  <si>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</si>
  <si>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</si>
  <si>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</si>
  <si>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</si>
  <si>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</si>
  <si>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</si>
  <si>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</si>
  <si>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</si>
  <si>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</si>
  <si>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</si>
  <si>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</si>
  <si>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</si>
  <si>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</si>
  <si>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</si>
  <si>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</si>
  <si>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</si>
  <si>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</si>
  <si>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</si>
  <si>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</si>
  <si>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</si>
  <si>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</si>
  <si>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</si>
  <si>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</si>
  <si>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</si>
  <si>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</si>
  <si>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</si>
  <si>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</si>
  <si>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</si>
  <si>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</si>
  <si>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</si>
  <si>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</si>
  <si>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</si>
  <si>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</si>
  <si>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</si>
  <si>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</si>
  <si>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</si>
  <si>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</si>
  <si>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</si>
  <si>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</si>
  <si>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</si>
  <si>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</si>
  <si>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</si>
  <si>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</si>
  <si>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</si>
  <si>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</si>
  <si>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</si>
  <si>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</si>
  <si>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</si>
  <si>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</si>
  <si>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</si>
  <si>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</si>
  <si>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</si>
  <si>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</si>
  <si>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</si>
  <si>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</si>
  <si>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</si>
  <si>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</si>
  <si>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</si>
  <si>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</si>
  <si>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</si>
  <si>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</si>
  <si>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</si>
  <si>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</si>
  <si>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</si>
  <si>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</si>
  <si>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</si>
  <si>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</si>
  <si>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</si>
  <si>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</si>
  <si>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</si>
  <si>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</si>
  <si>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</si>
  <si>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</si>
  <si>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</si>
  <si>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</si>
  <si>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</si>
  <si>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</si>
  <si>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</si>
  <si>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</si>
  <si>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</si>
  <si>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</si>
  <si>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</si>
  <si>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</si>
  <si>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</si>
  <si>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</si>
  <si>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</si>
  <si>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</si>
  <si>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</si>
  <si>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</si>
  <si>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</si>
  <si>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</si>
  <si>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</si>
  <si>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</si>
  <si>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</si>
  <si>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</si>
  <si>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</si>
  <si>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</si>
  <si>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</si>
  <si>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</si>
  <si>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</si>
  <si>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</si>
  <si>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</si>
  <si>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</si>
  <si>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</si>
  <si>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</si>
  <si>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</si>
  <si>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</si>
  <si>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</si>
  <si>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</si>
  <si>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</si>
  <si>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</si>
  <si>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</si>
  <si>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</si>
  <si>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</si>
  <si>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</si>
  <si>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</si>
  <si>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</si>
  <si>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</si>
  <si>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</si>
  <si>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</si>
  <si>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</si>
  <si>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</si>
  <si>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</si>
  <si>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</si>
  <si>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</si>
  <si>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</si>
  <si>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</si>
  <si>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</si>
  <si>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</si>
  <si>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</si>
  <si>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</si>
  <si>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</si>
  <si>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</si>
  <si>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</si>
  <si>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</si>
  <si>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</si>
  <si>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</si>
  <si>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</si>
  <si>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</si>
  <si>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</si>
  <si>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</si>
  <si>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</si>
  <si>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</si>
  <si>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</si>
  <si>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</si>
  <si>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</si>
  <si>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</si>
  <si>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</si>
  <si>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</si>
  <si>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</si>
  <si>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</si>
  <si>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</si>
  <si>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</si>
  <si>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</si>
  <si>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</si>
  <si>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</si>
  <si>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</si>
  <si>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</si>
  <si>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</si>
  <si>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</si>
  <si>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</si>
  <si>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</si>
  <si>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</si>
  <si>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</si>
  <si>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</si>
  <si>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</si>
  <si>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</si>
  <si>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</si>
  <si>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</si>
  <si>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</si>
  <si>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</si>
  <si>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</si>
  <si>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</si>
  <si>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</si>
  <si>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</si>
  <si>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</si>
  <si>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</si>
  <si>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</si>
  <si>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</si>
  <si>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</si>
  <si>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</si>
  <si>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</si>
  <si>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</si>
  <si>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</si>
  <si>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</si>
  <si>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</si>
  <si>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</si>
  <si>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</si>
  <si>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</si>
  <si>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</si>
  <si>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</si>
  <si>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</si>
  <si>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</si>
  <si>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</si>
  <si>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</si>
  <si>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</si>
  <si>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</si>
  <si>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</si>
  <si>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</si>
  <si>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</si>
  <si>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</si>
  <si>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</si>
  <si>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</si>
  <si>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</si>
  <si>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</si>
  <si>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</si>
  <si>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</si>
  <si>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</si>
  <si>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</si>
  <si>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</si>
  <si>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</si>
  <si>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</si>
  <si>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</si>
  <si>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</si>
  <si>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</si>
  <si>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</si>
  <si>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</si>
  <si>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</si>
  <si>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</si>
  <si>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</si>
  <si>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</si>
  <si>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</si>
  <si>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</si>
  <si>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</si>
  <si>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</si>
  <si>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</si>
  <si>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</si>
  <si>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</si>
  <si>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</si>
  <si>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</si>
  <si>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</si>
  <si>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</si>
  <si>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</si>
  <si>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</si>
  <si>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</si>
  <si>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</si>
  <si>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</si>
  <si>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</si>
  <si>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</si>
  <si>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</si>
  <si>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</si>
  <si>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</si>
  <si>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</si>
  <si>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</si>
  <si>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</si>
  <si>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</si>
  <si>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</si>
  <si>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</si>
  <si>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</si>
  <si>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</si>
  <si>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</si>
  <si>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</si>
  <si>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</si>
  <si>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</si>
  <si>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</si>
  <si>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</si>
  <si>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</si>
  <si>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</si>
  <si>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</si>
  <si>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</si>
  <si>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</si>
  <si>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</si>
  <si>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</si>
  <si>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</si>
  <si>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</si>
  <si>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</si>
  <si>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</si>
  <si>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</si>
  <si>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</si>
  <si>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</si>
  <si>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</si>
  <si>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</si>
  <si>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</si>
  <si>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</si>
  <si>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</si>
  <si>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</si>
  <si>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</si>
  <si>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</si>
  <si>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</si>
  <si>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</si>
  <si>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</si>
  <si>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</si>
  <si>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</si>
  <si>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</si>
  <si>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</si>
  <si>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</si>
  <si>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</si>
  <si>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</si>
  <si>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</si>
  <si>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</si>
  <si>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</si>
  <si>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</si>
  <si>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</si>
  <si>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</si>
  <si>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</si>
  <si>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</si>
  <si>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</si>
  <si>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</si>
  <si>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</si>
  <si>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</si>
  <si>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</si>
  <si>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</si>
  <si>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</si>
  <si>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</si>
  <si>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</si>
  <si>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</si>
  <si>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</si>
  <si>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</si>
  <si>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</si>
  <si>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</si>
  <si>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</si>
  <si>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</si>
  <si>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</si>
  <si>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</si>
  <si>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</si>
  <si>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</si>
  <si>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</si>
  <si>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</si>
  <si>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</si>
  <si>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</si>
  <si>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</si>
  <si>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</si>
  <si>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</si>
  <si>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</si>
  <si>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</si>
  <si>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</si>
  <si>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</si>
  <si>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</si>
  <si>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</si>
  <si>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</si>
  <si>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</si>
  <si>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</si>
  <si>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</si>
  <si>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</si>
  <si>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</si>
  <si>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</si>
  <si>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</si>
  <si>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</si>
  <si>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</si>
  <si>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</si>
  <si>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</si>
  <si>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</si>
  <si>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</si>
  <si>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</si>
  <si>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</si>
  <si>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</si>
  <si>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</si>
  <si>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</si>
  <si>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</si>
  <si>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</si>
  <si>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</si>
  <si>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</si>
  <si>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</si>
  <si>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</si>
  <si>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</si>
  <si>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</si>
  <si>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</si>
  <si>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</si>
  <si>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</si>
  <si>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</si>
  <si>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</si>
  <si>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</si>
  <si>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</si>
  <si>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</si>
  <si>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</si>
  <si>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</si>
  <si>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</si>
  <si>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</si>
  <si>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</si>
  <si>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</si>
  <si>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</si>
  <si>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</si>
  <si>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</si>
  <si>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</si>
  <si>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</si>
  <si>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</si>
  <si>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</si>
  <si>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</si>
  <si>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</si>
  <si>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</si>
  <si>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</si>
  <si>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</si>
  <si>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</si>
  <si>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</si>
  <si>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</si>
  <si>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</si>
  <si>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</si>
  <si>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</si>
  <si>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</si>
  <si>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</si>
  <si>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</si>
  <si>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</si>
  <si>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</si>
  <si>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</si>
  <si>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</si>
  <si>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</si>
  <si>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</si>
  <si>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</si>
  <si>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</si>
  <si>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</si>
  <si>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</si>
  <si>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</si>
  <si>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</si>
  <si>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</si>
  <si>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</si>
  <si>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</si>
  <si>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</si>
  <si>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</si>
  <si>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</si>
  <si>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</si>
  <si>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</si>
  <si>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</si>
  <si>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</si>
  <si>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</si>
  <si>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</si>
  <si>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</si>
  <si>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</si>
  <si>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</si>
  <si>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</si>
  <si>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</si>
  <si>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</si>
  <si>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</si>
  <si>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</si>
  <si>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</si>
  <si>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</si>
  <si>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</si>
  <si>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</si>
  <si>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</si>
  <si>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</si>
  <si>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</si>
  <si>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</si>
  <si>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</si>
  <si>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</si>
  <si>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</si>
  <si>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</si>
  <si>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</si>
  <si>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</si>
  <si>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</si>
  <si>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</si>
  <si>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</si>
  <si>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</si>
  <si>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</si>
  <si>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</si>
  <si>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</si>
  <si>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</si>
  <si>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</si>
  <si>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</si>
  <si>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</si>
  <si>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</si>
  <si>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</si>
  <si>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</si>
  <si>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</si>
  <si>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</si>
  <si>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</si>
  <si>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</si>
  <si>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</si>
  <si>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</si>
  <si>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</si>
  <si>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</si>
  <si>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</si>
  <si>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</si>
  <si>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</si>
  <si>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</si>
  <si>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</si>
  <si>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</si>
  <si>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</si>
  <si>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</si>
  <si>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</si>
  <si>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</si>
  <si>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</si>
  <si>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</si>
  <si>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</si>
  <si>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</si>
  <si>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</si>
  <si>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</si>
  <si>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</si>
  <si>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</si>
  <si>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</si>
  <si>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</si>
  <si>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</si>
  <si>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</si>
  <si>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</si>
  <si>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</si>
  <si>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</si>
  <si>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</si>
  <si>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</si>
  <si>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</si>
  <si>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</si>
  <si>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</si>
  <si>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</si>
  <si>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</si>
  <si>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</si>
  <si>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</si>
  <si>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</si>
  <si>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</si>
  <si>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</si>
  <si>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</si>
  <si>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</si>
  <si>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</si>
  <si>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</si>
  <si>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</si>
  <si>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</si>
  <si>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</si>
  <si>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</si>
  <si>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</si>
  <si>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</si>
  <si>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</si>
  <si>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</si>
  <si>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</si>
  <si>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</si>
  <si>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</si>
  <si>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</si>
  <si>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</si>
  <si>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</si>
  <si>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</si>
  <si>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</si>
  <si>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</si>
  <si>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</si>
  <si>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</si>
  <si>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</si>
  <si>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</si>
  <si>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</si>
  <si>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</si>
  <si>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</si>
  <si>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</si>
  <si>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</si>
  <si>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</si>
  <si>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</si>
  <si>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</si>
  <si>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</si>
  <si>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</si>
  <si>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</si>
  <si>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</si>
  <si>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</si>
  <si>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</si>
  <si>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</si>
  <si>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</si>
  <si>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</si>
  <si>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</si>
  <si>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</si>
  <si>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</si>
  <si>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</si>
  <si>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</si>
  <si>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</si>
  <si>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</si>
  <si>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</si>
  <si>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</si>
  <si>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</si>
  <si>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</si>
  <si>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</si>
  <si>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</si>
  <si>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</si>
  <si>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</si>
  <si>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</si>
  <si>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</si>
  <si>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</si>
  <si>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</si>
  <si>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</si>
  <si>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</si>
  <si>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</si>
  <si>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</si>
  <si>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</si>
  <si>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</si>
  <si>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</si>
  <si>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</si>
  <si>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</si>
  <si>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</si>
  <si>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</si>
  <si>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</si>
  <si>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</si>
  <si>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</si>
  <si>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</si>
  <si>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</si>
  <si>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</si>
  <si>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</si>
  <si>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</si>
  <si>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</si>
  <si>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</si>
  <si>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</si>
  <si>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</si>
  <si>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</si>
  <si>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</si>
  <si>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</si>
  <si>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</si>
  <si>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</si>
  <si>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</si>
  <si>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</si>
  <si>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</si>
  <si>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</si>
  <si>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</si>
  <si>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</si>
  <si>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</si>
  <si>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</si>
  <si>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</si>
  <si>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</si>
  <si>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</si>
  <si>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</si>
  <si>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</si>
  <si>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</si>
  <si>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</si>
  <si>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</si>
  <si>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</si>
  <si>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</si>
  <si>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</si>
  <si>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</si>
  <si>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</si>
  <si>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</si>
  <si>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</si>
  <si>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</si>
  <si>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</si>
  <si>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</si>
  <si>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</si>
  <si>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</si>
  <si>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</si>
  <si>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</si>
  <si>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</si>
  <si>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</si>
  <si>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</si>
  <si>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</si>
  <si>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</si>
  <si>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</si>
  <si>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</si>
  <si>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</si>
  <si>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</si>
  <si>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</si>
  <si>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</si>
  <si>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</si>
  <si>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</si>
  <si>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</si>
  <si>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</si>
  <si>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</si>
  <si>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</si>
  <si>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</si>
  <si>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</si>
  <si>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</si>
  <si>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</si>
  <si>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</si>
  <si>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</si>
  <si>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</si>
  <si>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</si>
  <si>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</si>
  <si>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</si>
  <si>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</si>
  <si>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</si>
  <si>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</si>
  <si>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</si>
  <si>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</si>
  <si>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</si>
  <si>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</si>
  <si>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</si>
  <si>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</si>
  <si>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</si>
  <si>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</si>
  <si>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</si>
  <si>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</si>
  <si>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</si>
  <si>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</si>
  <si>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</si>
  <si>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</si>
  <si>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</si>
  <si>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</si>
  <si>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</si>
  <si>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</si>
  <si>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</si>
  <si>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</si>
  <si>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</si>
  <si>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</si>
  <si>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</si>
  <si>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</si>
  <si>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</si>
  <si>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</si>
  <si>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</si>
  <si>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</si>
  <si>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</si>
  <si>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</si>
  <si>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</si>
  <si>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</si>
  <si>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</si>
  <si>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</si>
  <si>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</si>
  <si>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</si>
  <si>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</si>
  <si>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</si>
  <si>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</si>
  <si>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</si>
  <si>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</si>
  <si>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</si>
  <si>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</si>
  <si>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</si>
  <si>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</si>
  <si>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</si>
  <si>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</si>
  <si>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</si>
  <si>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</si>
  <si>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</si>
  <si>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</si>
  <si>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</si>
  <si>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</si>
  <si>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</si>
  <si>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</si>
  <si>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</si>
  <si>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</si>
  <si>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</si>
  <si>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</si>
  <si>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</si>
  <si>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</si>
  <si>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</si>
  <si>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</si>
  <si>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</si>
  <si>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</si>
  <si>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</si>
  <si>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</si>
  <si>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</si>
  <si>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</si>
  <si>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</si>
  <si>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</si>
  <si>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</si>
  <si>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</si>
  <si>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</si>
  <si>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</si>
  <si>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</si>
  <si>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</si>
  <si>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</si>
  <si>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</si>
  <si>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</si>
  <si>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</si>
  <si>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</si>
  <si>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</si>
  <si>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</si>
  <si>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</si>
  <si>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</si>
  <si>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</si>
  <si>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</si>
  <si>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</si>
  <si>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</si>
  <si>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</si>
  <si>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</si>
  <si>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</si>
  <si>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</si>
  <si>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</si>
  <si>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</si>
  <si>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</si>
  <si>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</si>
  <si>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</si>
  <si>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</si>
  <si>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</si>
  <si>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</si>
  <si>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</si>
  <si>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</si>
  <si>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</si>
  <si>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</si>
  <si>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</si>
  <si>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</si>
  <si>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</si>
  <si>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</si>
  <si>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</si>
  <si>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</si>
  <si>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</si>
  <si>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</si>
  <si>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</si>
  <si>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</si>
  <si>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</si>
  <si>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</si>
  <si>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</si>
  <si>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</si>
  <si>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</si>
  <si>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</si>
  <si>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</si>
  <si>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</si>
  <si>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</si>
  <si>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</si>
  <si>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</si>
  <si>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</si>
  <si>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</si>
  <si>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</si>
  <si>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</si>
  <si>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</si>
  <si>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</si>
  <si>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</si>
  <si>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</si>
  <si>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</si>
  <si>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</si>
  <si>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</si>
  <si>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</si>
  <si>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</si>
  <si>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</si>
  <si>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</si>
  <si>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</si>
  <si>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</si>
  <si>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</si>
  <si>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</si>
  <si>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</si>
  <si>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</si>
  <si>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</si>
  <si>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</si>
  <si>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</si>
  <si>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</si>
  <si>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</si>
  <si>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</si>
  <si>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</si>
  <si>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</si>
  <si>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</si>
  <si>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</si>
  <si>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</si>
  <si>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</si>
  <si>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</si>
  <si>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</si>
  <si>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</si>
  <si>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</si>
  <si>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</si>
  <si>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</si>
  <si>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</si>
  <si>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</si>
  <si>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</si>
  <si>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</si>
  <si>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</si>
  <si>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</si>
  <si>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</si>
  <si>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</si>
  <si>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</si>
  <si>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</si>
  <si>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</si>
  <si>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</si>
  <si>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</si>
  <si>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</si>
  <si>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</si>
  <si>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</si>
  <si>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</si>
  <si>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</si>
  <si>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</si>
  <si>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</si>
  <si>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</si>
  <si>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</si>
  <si>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</si>
  <si>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</si>
  <si>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</si>
  <si>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</si>
  <si>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</si>
  <si>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</si>
  <si>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</si>
  <si>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</si>
  <si>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</si>
  <si>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</si>
  <si>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</si>
  <si>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</si>
  <si>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</si>
  <si>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</si>
  <si>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</si>
  <si>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</si>
  <si>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</si>
  <si>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</si>
  <si>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</si>
  <si>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</si>
  <si>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</si>
  <si>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</si>
  <si>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</si>
  <si>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</si>
  <si>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</si>
  <si>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</si>
  <si>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</si>
  <si>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</si>
  <si>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</si>
  <si>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</si>
  <si>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</si>
  <si>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</si>
  <si>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</si>
  <si>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</si>
  <si>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</si>
  <si>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</si>
  <si>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</si>
  <si>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</si>
  <si>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</si>
  <si>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</si>
  <si>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</si>
  <si>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</si>
  <si>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</si>
  <si>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</si>
  <si>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</si>
  <si>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</si>
  <si>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</si>
  <si>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</si>
  <si>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</si>
  <si>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</si>
  <si>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</si>
  <si>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</si>
  <si>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</si>
  <si>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</si>
  <si>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</si>
  <si>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</si>
  <si>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</si>
  <si>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</si>
  <si>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</si>
  <si>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</si>
  <si>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</si>
  <si>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</si>
  <si>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</si>
  <si>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</si>
  <si>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</si>
  <si>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</si>
  <si>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</si>
  <si>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</si>
  <si>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</si>
  <si>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</si>
  <si>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</si>
  <si>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</si>
  <si>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</si>
  <si>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</si>
  <si>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</si>
  <si>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</si>
  <si>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</si>
  <si>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</si>
  <si>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</si>
  <si>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</si>
  <si>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</si>
  <si>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</si>
  <si>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</si>
  <si>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</si>
  <si>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</si>
  <si>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</si>
  <si>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</si>
  <si>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</si>
  <si>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</si>
  <si>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</si>
  <si>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</si>
  <si>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</si>
  <si>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</si>
  <si>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</si>
  <si>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</si>
  <si>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</si>
  <si>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</si>
  <si>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</si>
  <si>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</si>
  <si>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</si>
  <si>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</si>
  <si>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</si>
  <si>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</si>
  <si>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</si>
  <si>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</si>
  <si>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</si>
  <si>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</si>
  <si>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</si>
  <si>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</si>
  <si>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</si>
  <si>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</si>
  <si>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</si>
  <si>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</si>
  <si>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</si>
  <si>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</si>
  <si>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</si>
  <si>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</si>
  <si>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</si>
  <si>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</si>
  <si>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</si>
  <si>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</si>
  <si>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</si>
  <si>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</si>
  <si>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</si>
  <si>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</si>
  <si>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</si>
  <si>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</si>
  <si>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</si>
  <si>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</si>
  <si>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</si>
  <si>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</si>
  <si>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</si>
  <si>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</si>
  <si>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</si>
  <si>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</si>
  <si>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</si>
  <si>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</si>
  <si>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</si>
  <si>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</si>
  <si>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</si>
  <si>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</si>
  <si>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</si>
  <si>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</si>
  <si>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</si>
  <si>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</si>
  <si>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</si>
  <si>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</si>
  <si>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</si>
  <si>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</si>
  <si>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</si>
  <si>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</si>
  <si>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</si>
  <si>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</si>
  <si>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</si>
  <si>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</si>
  <si>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</si>
  <si>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</si>
  <si>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</si>
  <si>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</si>
  <si>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</si>
  <si>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</si>
  <si>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</si>
  <si>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</si>
  <si>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</si>
  <si>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</si>
  <si>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</si>
  <si>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</si>
  <si>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</si>
  <si>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</si>
  <si>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</si>
  <si>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</si>
  <si>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</si>
  <si>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</si>
  <si>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</si>
  <si>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</si>
  <si>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</si>
  <si>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</si>
  <si>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</si>
  <si>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</si>
  <si>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</si>
  <si>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</si>
  <si>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</si>
  <si>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</si>
  <si>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</si>
  <si>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</si>
  <si>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</si>
  <si>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</si>
  <si>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</si>
  <si>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</si>
  <si>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</si>
  <si>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</si>
  <si>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</si>
  <si>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</si>
  <si>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</si>
  <si>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</si>
  <si>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</si>
  <si>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</si>
  <si>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</si>
  <si>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</si>
  <si>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</si>
  <si>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</si>
  <si>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</si>
  <si>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</si>
  <si>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</si>
  <si>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</si>
  <si>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</si>
  <si>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</si>
  <si>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</si>
  <si>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</si>
  <si>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</si>
  <si>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</si>
  <si>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</si>
  <si>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</si>
  <si>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</si>
  <si>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</si>
  <si>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</si>
  <si>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</si>
  <si>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</si>
  <si>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</si>
  <si>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</si>
  <si>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</si>
  <si>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</si>
  <si>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</si>
  <si>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</si>
  <si>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</si>
  <si>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</si>
  <si>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</si>
  <si>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</si>
  <si>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</si>
  <si>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</si>
  <si>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</si>
  <si>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</si>
  <si>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</si>
  <si>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</si>
  <si>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</si>
  <si>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</si>
  <si>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</si>
  <si>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</si>
  <si>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</si>
  <si>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</si>
  <si>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</si>
  <si>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</si>
  <si>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</si>
  <si>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</si>
  <si>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</si>
  <si>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</si>
  <si>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</si>
  <si>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</si>
  <si>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</si>
  <si>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</si>
  <si>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</si>
  <si>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</si>
  <si>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</si>
  <si>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</si>
  <si>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</si>
  <si>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</si>
  <si>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</si>
  <si>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</si>
  <si>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</si>
  <si>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</si>
  <si>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</si>
  <si>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</si>
  <si>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</si>
  <si>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</si>
  <si>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</si>
  <si>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</si>
  <si>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</si>
  <si>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</si>
  <si>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</si>
  <si>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</si>
  <si>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</si>
  <si>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</si>
  <si>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</si>
  <si>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</si>
  <si>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</si>
  <si>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</si>
  <si>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</si>
  <si>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</si>
  <si>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</si>
  <si>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</si>
  <si>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</si>
  <si>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</si>
  <si>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</si>
  <si>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</si>
  <si>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</si>
  <si>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</si>
  <si>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</si>
  <si>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</si>
  <si>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</si>
  <si>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</si>
  <si>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</si>
  <si>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</si>
  <si>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</si>
  <si>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</si>
  <si>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</si>
  <si>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</si>
  <si>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</si>
  <si>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</si>
  <si>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</si>
  <si>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</si>
  <si>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</si>
  <si>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</si>
  <si>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</si>
  <si>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</si>
  <si>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</si>
  <si>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</si>
  <si>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</si>
  <si>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</si>
  <si>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</si>
  <si>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</si>
  <si>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</si>
  <si>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</si>
  <si>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</si>
  <si>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</si>
  <si>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</si>
  <si>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</si>
  <si>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</si>
  <si>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</si>
  <si>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</si>
  <si>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</si>
  <si>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</si>
  <si>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</si>
  <si>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</si>
  <si>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</si>
  <si>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</si>
  <si>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</si>
  <si>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</si>
  <si>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</si>
  <si>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</si>
  <si>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</si>
  <si>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</si>
  <si>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</si>
  <si>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</si>
  <si>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</si>
  <si>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</si>
  <si>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</si>
  <si>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</si>
  <si>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</si>
  <si>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</si>
  <si>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</si>
  <si>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</si>
  <si>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</si>
  <si>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</si>
  <si>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</si>
  <si>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</si>
  <si>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</si>
  <si>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</si>
  <si>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</si>
  <si>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</si>
  <si>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</si>
  <si>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</si>
  <si>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</si>
  <si>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</si>
  <si>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</si>
  <si>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</si>
  <si>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</si>
  <si>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</si>
  <si>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</si>
  <si>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</si>
  <si>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</si>
  <si>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</si>
  <si>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</si>
  <si>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</si>
  <si>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</si>
  <si>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</si>
  <si>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</si>
  <si>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</si>
  <si>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</si>
  <si>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</si>
  <si>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</si>
  <si>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</si>
  <si>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</si>
  <si>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</si>
  <si>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</si>
  <si>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</si>
  <si>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</si>
  <si>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</si>
  <si>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</si>
  <si>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</si>
  <si>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</si>
  <si>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</si>
  <si>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</si>
  <si>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</si>
  <si>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</si>
  <si>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</si>
  <si>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</si>
  <si>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</si>
  <si>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</si>
  <si>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</si>
  <si>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</si>
  <si>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</si>
  <si>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</si>
  <si>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</si>
  <si>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</si>
  <si>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</si>
  <si>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</si>
  <si>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</si>
  <si>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</si>
  <si>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</si>
  <si>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</si>
  <si>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</si>
  <si>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</si>
  <si>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</si>
  <si>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</si>
  <si>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</si>
  <si>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</si>
  <si>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</si>
  <si>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</si>
  <si>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</si>
  <si>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</si>
  <si>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</si>
  <si>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</si>
  <si>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</si>
  <si>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</si>
  <si>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</si>
  <si>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</si>
  <si>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</si>
  <si>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</si>
  <si>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</si>
  <si>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</si>
  <si>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</si>
  <si>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</si>
  <si>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</si>
  <si>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</si>
  <si>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</si>
  <si>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</si>
  <si>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</si>
  <si>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</si>
  <si>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</si>
  <si>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</si>
  <si>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</si>
  <si>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</si>
  <si>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</si>
  <si>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</si>
  <si>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</si>
  <si>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</si>
  <si>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</si>
  <si>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</si>
  <si>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</si>
  <si>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</si>
  <si>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</si>
  <si>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</si>
  <si>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</si>
  <si>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</si>
  <si>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</si>
  <si>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</si>
  <si>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</si>
  <si>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</si>
  <si>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</si>
  <si>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</si>
  <si>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</si>
  <si>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</si>
  <si>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</si>
  <si>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</si>
  <si>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</si>
  <si>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</si>
  <si>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</si>
  <si>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</si>
  <si>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</si>
  <si>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</si>
  <si>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</si>
  <si>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</si>
  <si>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</si>
  <si>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</si>
  <si>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</si>
  <si>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</si>
  <si>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</si>
  <si>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</si>
  <si>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</si>
  <si>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</si>
  <si>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</si>
  <si>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</si>
  <si>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</si>
  <si>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</si>
  <si>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</si>
  <si>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</si>
  <si>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</si>
  <si>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</si>
  <si>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</si>
  <si>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</si>
  <si>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</si>
  <si>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</si>
  <si>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</si>
  <si>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</si>
  <si>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</si>
  <si>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</si>
  <si>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</si>
  <si>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</si>
  <si>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</si>
  <si>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</si>
  <si>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</si>
  <si>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</si>
  <si>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</si>
  <si>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</si>
  <si>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</si>
  <si>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</si>
  <si>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</si>
  <si>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</si>
  <si>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</si>
  <si>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</si>
  <si>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</si>
  <si>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</si>
  <si>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</si>
  <si>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</si>
  <si>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</si>
  <si>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</si>
  <si>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</si>
  <si>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</si>
  <si>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</si>
  <si>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</si>
  <si>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</si>
  <si>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</si>
  <si>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</si>
  <si>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</si>
  <si>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</si>
  <si>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</si>
  <si>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</si>
  <si>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</si>
  <si>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</si>
  <si>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</si>
  <si>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</si>
  <si>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</si>
  <si>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</si>
  <si>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</si>
  <si>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</si>
  <si>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</si>
  <si>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</si>
  <si>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</si>
  <si>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</si>
  <si>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</si>
  <si>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</si>
  <si>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</si>
  <si>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</si>
  <si>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</si>
  <si>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</si>
  <si>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</si>
  <si>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</si>
  <si>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</si>
  <si>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</si>
  <si>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</si>
  <si>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</si>
  <si>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</si>
  <si>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</si>
  <si>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</si>
  <si>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</si>
  <si>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</si>
  <si>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</si>
  <si>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</si>
  <si>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</si>
  <si>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</si>
  <si>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</si>
  <si>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</si>
  <si>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</si>
  <si>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</si>
  <si>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</si>
  <si>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</si>
  <si>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</si>
  <si>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</si>
  <si>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</si>
  <si>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</si>
  <si>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</si>
  <si>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</si>
  <si>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</si>
  <si>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</si>
  <si>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</si>
  <si>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</si>
  <si>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</si>
  <si>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</si>
  <si>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</si>
  <si>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</si>
  <si>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</si>
  <si>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</si>
  <si>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</si>
  <si>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</si>
  <si>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</si>
  <si>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</si>
  <si>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</si>
  <si>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</si>
  <si>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</si>
  <si>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</si>
  <si>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</si>
  <si>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</si>
  <si>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</si>
  <si>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</si>
  <si>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</si>
  <si>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</si>
  <si>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</si>
  <si>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</si>
  <si>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</si>
  <si>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</si>
  <si>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</si>
  <si>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</si>
  <si>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</si>
  <si>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</si>
  <si>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</si>
  <si>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</si>
  <si>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</si>
  <si>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</si>
  <si>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</si>
  <si>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</si>
  <si>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</si>
  <si>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</si>
  <si>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</si>
  <si>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</si>
  <si>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</si>
  <si>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</si>
  <si>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</si>
  <si>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</si>
  <si>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</si>
  <si>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</si>
  <si>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</si>
  <si>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</si>
  <si>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</si>
  <si>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</si>
  <si>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</si>
  <si>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</si>
  <si>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</si>
  <si>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</si>
  <si>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</si>
  <si>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</si>
  <si>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</si>
  <si>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</si>
  <si>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</si>
  <si>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</si>
  <si>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</si>
  <si>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</si>
  <si>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</si>
  <si>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</si>
  <si>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</si>
  <si>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</si>
  <si>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</si>
  <si>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</si>
  <si>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</si>
  <si>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</si>
  <si>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</si>
  <si>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</si>
  <si>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</si>
  <si>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</si>
  <si>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</si>
  <si>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</si>
  <si>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</si>
  <si>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</si>
  <si>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</si>
  <si>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</si>
  <si>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</si>
  <si>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</si>
  <si>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</si>
  <si>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</si>
  <si>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</si>
  <si>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</si>
  <si>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</si>
  <si>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</si>
  <si>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</si>
  <si>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</si>
  <si>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</si>
  <si>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</si>
  <si>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</si>
  <si>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</si>
  <si>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</si>
  <si>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</si>
  <si>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</si>
  <si>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</si>
  <si>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</si>
  <si>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</si>
  <si>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</si>
  <si>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</si>
  <si>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</si>
  <si>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</si>
  <si>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</si>
  <si>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</si>
  <si>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</si>
  <si>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</si>
  <si>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</si>
  <si>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</si>
  <si>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</si>
  <si>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</si>
  <si>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</si>
  <si>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</si>
  <si>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</si>
  <si>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</si>
  <si>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</si>
  <si>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</si>
  <si>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</si>
  <si>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</si>
  <si>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</si>
  <si>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</si>
  <si>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</si>
  <si>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</si>
  <si>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</si>
  <si>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</si>
  <si>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</si>
  <si>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</si>
  <si>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</si>
  <si>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</si>
  <si>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</si>
  <si>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</si>
  <si>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</si>
  <si>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</si>
  <si>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</si>
  <si>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</si>
  <si>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</si>
  <si>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</si>
  <si>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</si>
  <si>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</si>
  <si>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</si>
  <si>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</si>
  <si>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</si>
  <si>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</si>
  <si>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</si>
  <si>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</si>
  <si>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</si>
  <si>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</si>
  <si>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</si>
  <si>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</si>
  <si>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</si>
  <si>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</si>
  <si>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</si>
  <si>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</si>
  <si>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</si>
  <si>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</si>
  <si>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</si>
  <si>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</si>
  <si>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</si>
  <si>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</si>
  <si>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</si>
  <si>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</si>
  <si>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</si>
  <si>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</si>
  <si>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</si>
  <si>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</si>
  <si>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</si>
  <si>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</si>
  <si>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</si>
  <si>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</si>
  <si>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</si>
  <si>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</si>
  <si>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</si>
  <si>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</si>
  <si>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</si>
  <si>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</si>
  <si>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</si>
  <si>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</si>
  <si>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</si>
  <si>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</si>
  <si>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</si>
  <si>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</si>
  <si>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</si>
  <si>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</si>
  <si>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</si>
  <si>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</si>
  <si>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</si>
  <si>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</si>
  <si>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</si>
  <si>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</si>
  <si>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</si>
  <si>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</si>
  <si>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</si>
  <si>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</si>
  <si>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</si>
  <si>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</si>
  <si>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</si>
  <si>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</si>
  <si>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</si>
  <si>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</si>
  <si>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</si>
  <si>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</si>
  <si>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</si>
  <si>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</si>
  <si>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</si>
  <si>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</si>
  <si>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</si>
  <si>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</si>
  <si>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</si>
  <si>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</si>
  <si>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</si>
  <si>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</si>
  <si>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</si>
  <si>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</si>
  <si>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</si>
  <si>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</si>
  <si>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</si>
  <si>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</si>
  <si>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</si>
  <si>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</si>
  <si>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</si>
  <si>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</si>
  <si>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</si>
  <si>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</si>
  <si>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</si>
  <si>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</si>
  <si>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</si>
  <si>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</si>
  <si>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</si>
  <si>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</si>
  <si>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</si>
  <si>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</si>
  <si>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</si>
  <si>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</si>
  <si>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</si>
  <si>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</si>
  <si>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</si>
  <si>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</si>
  <si>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</si>
  <si>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</si>
  <si>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</si>
  <si>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</si>
  <si>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</si>
  <si>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</si>
  <si>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</si>
  <si>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</si>
  <si>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</si>
  <si>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</si>
  <si>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</si>
  <si>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</si>
  <si>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</si>
  <si>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</si>
  <si>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</si>
  <si>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</si>
  <si>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</si>
  <si>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</si>
  <si>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</si>
  <si>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</si>
  <si>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</si>
  <si>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</si>
  <si>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</si>
  <si>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</si>
  <si>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</si>
  <si>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</si>
  <si>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</si>
  <si>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</si>
  <si>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</si>
  <si>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</si>
  <si>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</si>
  <si>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</si>
  <si>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</si>
  <si>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</si>
  <si>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</si>
  <si>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</si>
  <si>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</si>
  <si>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</si>
  <si>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</si>
  <si>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</si>
  <si>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</si>
  <si>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</si>
  <si>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</si>
  <si>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</si>
  <si>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</si>
  <si>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</si>
  <si>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</si>
  <si>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</si>
  <si>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</si>
  <si>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</si>
  <si>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</si>
  <si>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</si>
  <si>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</si>
  <si>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</si>
  <si>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</si>
  <si>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</si>
  <si>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</si>
  <si>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</si>
  <si>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</si>
  <si>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</si>
  <si>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</si>
  <si>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</si>
  <si>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</si>
  <si>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</si>
  <si>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</si>
  <si>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</si>
  <si>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</si>
  <si>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</si>
  <si>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</si>
  <si>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</si>
  <si>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</si>
  <si>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</si>
  <si>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</si>
  <si>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</si>
  <si>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</si>
  <si>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</si>
  <si>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</si>
  <si>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</si>
  <si>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</si>
  <si>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</si>
  <si>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</si>
  <si>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</si>
  <si>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</si>
  <si>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</si>
  <si>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</si>
  <si>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</si>
  <si>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</si>
  <si>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</si>
  <si>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</si>
  <si>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</si>
  <si>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</si>
  <si>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</si>
  <si>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</si>
  <si>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</si>
  <si>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</si>
  <si>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</si>
  <si>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</si>
  <si>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</si>
  <si>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</si>
  <si>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</si>
  <si>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</si>
  <si>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</si>
  <si>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</si>
  <si>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</si>
  <si>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</si>
  <si>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</si>
  <si>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</si>
  <si>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</si>
  <si>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</si>
  <si>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</si>
  <si>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</si>
  <si>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</si>
  <si>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</si>
  <si>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</si>
  <si>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</si>
  <si>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</si>
  <si>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</si>
  <si>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</si>
  <si>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</si>
  <si>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</si>
  <si>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</si>
  <si>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</si>
  <si>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</si>
  <si>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</si>
  <si>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</si>
  <si>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</si>
  <si>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</si>
  <si>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</si>
  <si>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</si>
  <si>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</si>
  <si>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Federal + State Non-Corporate</t>
  </si>
  <si>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</si>
  <si>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</si>
  <si>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</si>
  <si>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</si>
  <si>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</si>
  <si>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</si>
  <si>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</si>
  <si>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</si>
  <si>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</si>
  <si>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</si>
  <si>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2023 Q4 first revision</t>
  </si>
  <si>
    <t>state + local</t>
  </si>
  <si>
    <t>Our forecast for Q1</t>
  </si>
  <si>
    <t>Assume75% of increase in private fixed incestment:manufacturing over 2019 levels is due to legislation</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</si>
  <si>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</si>
  <si>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</si>
  <si>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</si>
  <si>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</si>
  <si>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</si>
  <si>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</si>
  <si>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</si>
  <si>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</si>
  <si>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</si>
  <si>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</si>
  <si>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</si>
  <si>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</si>
  <si>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</si>
  <si>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</si>
  <si>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</si>
  <si>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</si>
  <si>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</si>
  <si>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</si>
  <si>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</si>
  <si>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</si>
  <si>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t>May 2023 CBO Annual Medicare Spending</t>
  </si>
  <si>
    <t>OLD - from 12/2023</t>
  </si>
  <si>
    <t>February 2024 CBO State and Local Purchases Growth</t>
  </si>
  <si>
    <t>February 2024 CBO Projection of Federal Purchases</t>
  </si>
  <si>
    <t>February 2024 CBO Federal Purchases Growth</t>
  </si>
  <si>
    <t>2023 Q4 second revision</t>
  </si>
  <si>
    <t>2023 Q4 first revision (January 2023)</t>
  </si>
  <si>
    <t>2023 Q4 second revision (February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</si>
  <si>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</si>
  <si>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</si>
  <si>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</si>
  <si>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</si>
  <si>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</si>
  <si>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</si>
  <si>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</si>
  <si>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</si>
  <si>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</si>
  <si>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</si>
  <si>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</si>
  <si>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</si>
  <si>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</si>
  <si>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</si>
  <si>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</si>
  <si>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</si>
  <si>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</si>
  <si>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</si>
  <si>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</si>
  <si>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</si>
  <si>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</si>
  <si>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</si>
  <si>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</si>
  <si>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</si>
  <si>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</si>
  <si>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</si>
  <si>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</si>
  <si>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</si>
  <si>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</si>
  <si>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</si>
  <si>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</si>
  <si>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</si>
  <si>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</si>
  <si>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</si>
  <si>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</si>
  <si>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</si>
  <si>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</si>
  <si>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</si>
  <si>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</si>
  <si>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</si>
  <si>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</si>
  <si>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</si>
  <si>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</si>
  <si>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</si>
  <si>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</si>
  <si>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</si>
  <si>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</si>
  <si>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</si>
  <si>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</si>
  <si>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</si>
  <si>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</si>
  <si>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</si>
  <si>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</si>
  <si>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</si>
  <si>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</si>
  <si>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</si>
  <si>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</si>
  <si>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</si>
  <si>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</si>
  <si>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</si>
  <si>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</si>
  <si>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</si>
  <si>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</si>
  <si>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</si>
  <si>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</si>
  <si>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</si>
  <si>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</si>
  <si>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</si>
  <si>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</si>
  <si>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</si>
  <si>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</si>
  <si>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</si>
  <si>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</si>
  <si>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</si>
  <si>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</si>
  <si>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</si>
  <si>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</si>
  <si>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</si>
  <si>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</si>
  <si>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</si>
  <si>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</si>
  <si>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</si>
  <si>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</si>
  <si>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</si>
  <si>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</si>
  <si>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</si>
  <si>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</si>
  <si>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</si>
  <si>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</si>
  <si>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</si>
  <si>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</si>
  <si>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</si>
  <si>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</si>
  <si>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</si>
  <si>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</si>
  <si>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</si>
  <si>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</si>
  <si>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</si>
  <si>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</si>
  <si>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</si>
  <si>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</si>
  <si>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</si>
  <si>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</si>
  <si>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</si>
  <si>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</si>
  <si>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</si>
  <si>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</si>
  <si>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</si>
  <si>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</si>
  <si>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</si>
  <si>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</si>
  <si>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</si>
  <si>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</si>
  <si>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</si>
  <si>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</si>
  <si>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</si>
  <si>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</si>
  <si>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</si>
  <si>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</si>
  <si>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</si>
  <si>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</si>
  <si>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</si>
  <si>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</si>
  <si>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</si>
  <si>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</si>
  <si>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</si>
  <si>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</si>
  <si>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</si>
  <si>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</si>
  <si>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</si>
  <si>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</si>
  <si>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</si>
  <si>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</si>
  <si>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</si>
  <si>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</si>
  <si>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</si>
  <si>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</si>
  <si>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</si>
  <si>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</si>
  <si>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</si>
  <si>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</si>
  <si>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</si>
  <si>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</si>
  <si>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</si>
  <si>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</si>
  <si>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</si>
  <si>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</si>
  <si>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</si>
  <si>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</si>
  <si>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</si>
  <si>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</si>
  <si>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</si>
  <si>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</si>
  <si>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</si>
  <si>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</si>
  <si>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</si>
  <si>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</si>
  <si>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</si>
  <si>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</si>
  <si>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</si>
  <si>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</si>
  <si>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</si>
  <si>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</si>
  <si>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</si>
  <si>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</si>
  <si>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</si>
  <si>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</si>
  <si>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</si>
  <si>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</si>
  <si>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</si>
  <si>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</si>
  <si>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</si>
  <si>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</si>
  <si>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</si>
  <si>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</si>
  <si>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</si>
  <si>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</si>
  <si>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</si>
  <si>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</si>
  <si>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</si>
  <si>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</si>
  <si>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</si>
  <si>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</si>
  <si>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</si>
  <si>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</si>
  <si>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</si>
  <si>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</si>
  <si>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</si>
  <si>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</si>
  <si>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</si>
  <si>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</si>
  <si>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</si>
  <si>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</si>
  <si>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</si>
  <si>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</si>
  <si>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</si>
  <si>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</si>
  <si>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</si>
  <si>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</si>
  <si>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</si>
  <si>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</si>
  <si>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</si>
  <si>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</si>
  <si>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</si>
  <si>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</si>
  <si>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</si>
  <si>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</si>
  <si>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</si>
  <si>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</si>
  <si>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</si>
  <si>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</si>
  <si>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</si>
  <si>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</si>
  <si>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</si>
  <si>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</si>
  <si>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</si>
  <si>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</si>
  <si>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</si>
  <si>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</si>
  <si>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</si>
  <si>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</si>
  <si>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</si>
  <si>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</si>
  <si>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</si>
  <si>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</si>
  <si>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</si>
  <si>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</si>
  <si>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</si>
  <si>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</si>
  <si>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</si>
  <si>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</si>
  <si>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</si>
  <si>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</si>
  <si>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</si>
  <si>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</si>
  <si>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</si>
  <si>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</si>
  <si>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</si>
  <si>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</si>
  <si>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</si>
  <si>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</si>
  <si>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</si>
  <si>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</si>
  <si>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</si>
  <si>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</si>
  <si>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</si>
  <si>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</si>
  <si>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</si>
  <si>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</si>
  <si>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</si>
  <si>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</si>
  <si>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</si>
  <si>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</si>
  <si>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</si>
  <si>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</si>
  <si>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</si>
  <si>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</si>
  <si>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</si>
  <si>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</si>
  <si>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</si>
  <si>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</si>
  <si>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</si>
  <si>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</si>
  <si>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</si>
  <si>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</si>
  <si>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</si>
  <si>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</si>
  <si>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</si>
  <si>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</si>
  <si>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</si>
  <si>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</si>
  <si>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</si>
  <si>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</si>
  <si>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</si>
  <si>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</si>
  <si>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</si>
  <si>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</si>
  <si>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</si>
  <si>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</si>
  <si>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</si>
  <si>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</si>
  <si>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</si>
  <si>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</si>
  <si>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</si>
  <si>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</si>
  <si>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</si>
  <si>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</si>
  <si>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</si>
  <si>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</si>
  <si>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</si>
  <si>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</si>
  <si>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</si>
  <si>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</si>
  <si>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</si>
  <si>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</si>
  <si>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</si>
  <si>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</si>
  <si>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</si>
  <si>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</si>
  <si>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</si>
  <si>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</si>
  <si>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</si>
  <si>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</si>
  <si>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</si>
  <si>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</si>
  <si>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t>
  </si>
  <si>
    <r>
      <t>Feb.</t>
    </r>
    <r>
      <rPr>
        <vertAlign val="superscript"/>
        <sz val="11"/>
        <rFont val="Calibri"/>
        <family val="2"/>
      </rPr>
      <t xml:space="preserve"> p</t>
    </r>
    <r>
      <rPr>
        <sz val="11"/>
        <rFont val="Calibri"/>
        <family val="2"/>
      </rPr>
      <t/>
    </r>
  </si>
  <si>
    <t>PCE deflator (2.8.4 top line)</t>
  </si>
  <si>
    <t>Consumption (CBO)</t>
  </si>
  <si>
    <t>FIM consumption deflator forecast</t>
  </si>
  <si>
    <t>consumption deflator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</si>
</sst>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4" formatCode="_(&quot;$&quot;* #,##0.00_);_(&quot;$&quot;* \(#,##0.00\);_(&quot;$&quot;* &quot;-&quot;??_);_(@_)"/>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0"/>
    <numFmt numFmtId="172" formatCode="#,##0.0000"/>
    <numFmt numFmtId="173" formatCode="0.00000000000000"/>
    <numFmt numFmtId="174" formatCode="0.0000"/>
    <numFmt numFmtId="175" formatCode="0.0000000000000"/>
    <numFmt numFmtId="176" formatCode="0_);\(0\)"/>
    <numFmt numFmtId="177" formatCode="0.00_);\(0.00\)"/>
    <numFmt numFmtId="178" formatCode="0.0000%"/>
    <numFmt numFmtId="179" formatCode="[$-409]mmm\-yy;@"/>
  </numFmts>
  <fonts count="91"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b/>
      <sz val="11"/>
      <name val="Calibri"/>
      <family val="2"/>
    </font>
    <font>
      <sz val="10"/>
      <name val="Arial"/>
      <family val="2"/>
    </font>
    <font>
      <sz val="11"/>
      <color theme="1"/>
      <name val="Calibri"/>
      <family val="2"/>
      <scheme val="minor"/>
    </font>
    <font>
      <sz val="12"/>
      <name val="Arial"/>
    </font>
    <font>
      <sz val="12"/>
      <name val="Arial"/>
      <family val="2"/>
    </font>
    <font>
      <sz val="12"/>
      <color theme="1"/>
      <name val="Calibri"/>
      <family val="2"/>
      <scheme val="minor"/>
    </font>
    <font>
      <u/>
      <sz val="12"/>
      <color theme="10"/>
      <name val="Arial"/>
      <family val="2"/>
    </font>
    <font>
      <u/>
      <sz val="10"/>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sz val="12"/>
      <name val="Courier"/>
      <family val="3"/>
    </font>
    <font>
      <sz val="10"/>
      <color indexed="8"/>
      <name val="Arial"/>
      <family val="2"/>
    </font>
    <font>
      <b/>
      <sz val="11"/>
      <color rgb="FF4F4F4F"/>
      <name val="Segoe UI"/>
      <family val="2"/>
    </font>
  </fonts>
  <fills count="7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59">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auto="1"/>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hair">
        <color indexed="64"/>
      </bottom>
      <diagonal/>
    </border>
    <border>
      <left/>
      <right style="thin">
        <color indexed="64"/>
      </right>
      <top style="thin">
        <color auto="1"/>
      </top>
      <bottom style="thin">
        <color indexed="64"/>
      </bottom>
      <diagonal/>
    </border>
    <border>
      <left style="hair">
        <color auto="1"/>
      </left>
      <right style="hair">
        <color auto="1"/>
      </right>
      <top style="hair">
        <color auto="1"/>
      </top>
      <bottom style="hair">
        <color auto="1"/>
      </bottom>
      <diagonal/>
    </border>
    <border>
      <left/>
      <right/>
      <top style="hair">
        <color indexed="64"/>
      </top>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02">
    <xf numFmtId="0" fontId="0" fillId="0" borderId="0"/>
    <xf numFmtId="0" fontId="63" fillId="0" borderId="0"/>
    <xf numFmtId="9" fontId="64" fillId="0" borderId="0" applyFont="0" applyFill="0" applyBorder="0" applyAlignment="0" applyProtection="0"/>
    <xf numFmtId="0" fontId="65" fillId="0" borderId="0"/>
    <xf numFmtId="0" fontId="63" fillId="0" borderId="0"/>
    <xf numFmtId="0" fontId="66" fillId="0" borderId="0"/>
    <xf numFmtId="0" fontId="64" fillId="0" borderId="0"/>
    <xf numFmtId="0" fontId="66" fillId="0" borderId="0"/>
    <xf numFmtId="9" fontId="66" fillId="0" borderId="0" applyFont="0" applyFill="0" applyBorder="0" applyAlignment="0" applyProtection="0"/>
    <xf numFmtId="43" fontId="64" fillId="0" borderId="0" applyFont="0" applyFill="0" applyBorder="0" applyAlignment="0" applyProtection="0"/>
    <xf numFmtId="0" fontId="64" fillId="0" borderId="0"/>
    <xf numFmtId="0" fontId="64" fillId="0" borderId="0"/>
    <xf numFmtId="0" fontId="63" fillId="0" borderId="0"/>
    <xf numFmtId="0" fontId="67" fillId="0" borderId="0"/>
    <xf numFmtId="0" fontId="63" fillId="0" borderId="0"/>
    <xf numFmtId="0" fontId="66" fillId="0" borderId="0"/>
    <xf numFmtId="0" fontId="64" fillId="0" borderId="0"/>
    <xf numFmtId="0" fontId="68" fillId="0" borderId="0" applyNumberFormat="0" applyFill="0" applyBorder="0" applyAlignment="0" applyProtection="0"/>
    <xf numFmtId="0" fontId="64" fillId="0" borderId="0"/>
    <xf numFmtId="0" fontId="64" fillId="0" borderId="0"/>
    <xf numFmtId="43" fontId="64" fillId="0" borderId="0" applyFont="0" applyFill="0" applyBorder="0" applyAlignment="0" applyProtection="0"/>
    <xf numFmtId="0" fontId="64" fillId="0" borderId="0"/>
    <xf numFmtId="0" fontId="66" fillId="0" borderId="0"/>
    <xf numFmtId="0" fontId="11" fillId="0" borderId="0" applyNumberFormat="0" applyFill="0" applyBorder="0" applyAlignment="0" applyProtection="0"/>
    <xf numFmtId="0" fontId="64" fillId="0" borderId="0"/>
    <xf numFmtId="0" fontId="64" fillId="0" borderId="0"/>
    <xf numFmtId="43" fontId="66" fillId="0" borderId="0" applyFont="0" applyFill="0" applyBorder="0" applyAlignment="0" applyProtection="0"/>
    <xf numFmtId="0" fontId="64" fillId="0" borderId="0"/>
    <xf numFmtId="43" fontId="64" fillId="0" borderId="0" applyFont="0" applyFill="0" applyBorder="0" applyAlignment="0" applyProtection="0"/>
    <xf numFmtId="0" fontId="11" fillId="0" borderId="0" applyNumberFormat="0" applyFill="0" applyBorder="0" applyAlignment="0" applyProtection="0"/>
    <xf numFmtId="0" fontId="66" fillId="0" borderId="0"/>
    <xf numFmtId="0" fontId="11" fillId="0" borderId="0">
      <alignment vertical="top"/>
      <protection locked="0"/>
    </xf>
    <xf numFmtId="0" fontId="11" fillId="0" borderId="0"/>
    <xf numFmtId="0" fontId="63" fillId="0" borderId="0"/>
    <xf numFmtId="0" fontId="11" fillId="0" borderId="0" applyNumberFormat="0" applyFill="0" applyBorder="0" applyAlignment="0" applyProtection="0">
      <alignment vertical="top"/>
      <protection locked="0"/>
    </xf>
    <xf numFmtId="0" fontId="63" fillId="0" borderId="0"/>
    <xf numFmtId="0" fontId="63" fillId="0" borderId="0"/>
    <xf numFmtId="0" fontId="64" fillId="0" borderId="0"/>
    <xf numFmtId="0" fontId="66" fillId="0" borderId="0"/>
    <xf numFmtId="43" fontId="63" fillId="0" borderId="0" applyFont="0" applyFill="0" applyBorder="0" applyAlignment="0" applyProtection="0"/>
    <xf numFmtId="0" fontId="67" fillId="0" borderId="0"/>
    <xf numFmtId="0" fontId="63" fillId="0" borderId="0"/>
    <xf numFmtId="9" fontId="63" fillId="0" borderId="0" applyFont="0" applyFill="0" applyBorder="0" applyAlignment="0" applyProtection="0"/>
    <xf numFmtId="0" fontId="66" fillId="0" borderId="0"/>
    <xf numFmtId="43" fontId="63" fillId="0" borderId="0" applyFont="0" applyFill="0" applyBorder="0" applyAlignment="0" applyProtection="0"/>
    <xf numFmtId="43" fontId="63" fillId="0" borderId="0" applyFont="0" applyFill="0" applyBorder="0" applyAlignment="0" applyProtection="0"/>
    <xf numFmtId="0" fontId="14" fillId="0" borderId="0" applyNumberFormat="0" applyFill="0" applyBorder="0" applyAlignment="0" applyProtection="0">
      <alignment vertical="top"/>
      <protection locked="0"/>
    </xf>
    <xf numFmtId="0" fontId="63" fillId="0" borderId="0"/>
    <xf numFmtId="0" fontId="68" fillId="0" borderId="0" applyNumberFormat="0" applyFill="0" applyBorder="0" applyAlignment="0" applyProtection="0"/>
    <xf numFmtId="9" fontId="64" fillId="0" borderId="0" applyFont="0" applyFill="0" applyBorder="0" applyAlignment="0" applyProtection="0"/>
    <xf numFmtId="0" fontId="63" fillId="0" borderId="0"/>
    <xf numFmtId="0" fontId="64" fillId="0" borderId="0"/>
    <xf numFmtId="0" fontId="66" fillId="0" borderId="0"/>
    <xf numFmtId="0" fontId="70" fillId="0" borderId="0" applyNumberFormat="0" applyFill="0" applyBorder="0" applyAlignment="0" applyProtection="0">
      <alignment vertical="top"/>
      <protection locked="0"/>
    </xf>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0" fontId="64" fillId="0" borderId="0"/>
    <xf numFmtId="0" fontId="64" fillId="0" borderId="0"/>
    <xf numFmtId="0" fontId="6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0" fontId="63" fillId="0" borderId="0"/>
    <xf numFmtId="0" fontId="6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3" fillId="0" borderId="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0" fontId="33" fillId="52" borderId="0" applyNumberFormat="0" applyBorder="0" applyAlignment="0" applyProtection="0"/>
    <xf numFmtId="0" fontId="33" fillId="56" borderId="0" applyNumberFormat="0" applyBorder="0" applyAlignment="0" applyProtection="0"/>
    <xf numFmtId="0" fontId="33" fillId="60" borderId="0" applyNumberFormat="0" applyBorder="0" applyAlignment="0" applyProtection="0"/>
    <xf numFmtId="0" fontId="33" fillId="64" borderId="0" applyNumberFormat="0" applyBorder="0" applyAlignment="0" applyProtection="0"/>
    <xf numFmtId="0" fontId="33" fillId="68" borderId="0" applyNumberFormat="0" applyBorder="0" applyAlignment="0" applyProtection="0"/>
    <xf numFmtId="0" fontId="33" fillId="72" borderId="0" applyNumberFormat="0" applyBorder="0" applyAlignment="0" applyProtection="0"/>
    <xf numFmtId="0" fontId="33" fillId="53" borderId="0" applyNumberFormat="0" applyBorder="0" applyAlignment="0" applyProtection="0"/>
    <xf numFmtId="0" fontId="33" fillId="57" borderId="0" applyNumberFormat="0" applyBorder="0" applyAlignment="0" applyProtection="0"/>
    <xf numFmtId="0" fontId="33" fillId="61" borderId="0" applyNumberFormat="0" applyBorder="0" applyAlignment="0" applyProtection="0"/>
    <xf numFmtId="0" fontId="33" fillId="65" borderId="0" applyNumberFormat="0" applyBorder="0" applyAlignment="0" applyProtection="0"/>
    <xf numFmtId="0" fontId="33" fillId="69" borderId="0" applyNumberFormat="0" applyBorder="0" applyAlignment="0" applyProtection="0"/>
    <xf numFmtId="0" fontId="33" fillId="73" borderId="0" applyNumberFormat="0" applyBorder="0" applyAlignment="0" applyProtection="0"/>
    <xf numFmtId="0" fontId="71" fillId="54" borderId="0" applyNumberFormat="0" applyBorder="0" applyAlignment="0" applyProtection="0"/>
    <xf numFmtId="0" fontId="71" fillId="58" borderId="0" applyNumberFormat="0" applyBorder="0" applyAlignment="0" applyProtection="0"/>
    <xf numFmtId="0" fontId="71" fillId="62" borderId="0" applyNumberFormat="0" applyBorder="0" applyAlignment="0" applyProtection="0"/>
    <xf numFmtId="0" fontId="71" fillId="66" borderId="0" applyNumberFormat="0" applyBorder="0" applyAlignment="0" applyProtection="0"/>
    <xf numFmtId="0" fontId="71" fillId="70" borderId="0" applyNumberFormat="0" applyBorder="0" applyAlignment="0" applyProtection="0"/>
    <xf numFmtId="0" fontId="71" fillId="74" borderId="0" applyNumberFormat="0" applyBorder="0" applyAlignment="0" applyProtection="0"/>
    <xf numFmtId="0" fontId="71" fillId="51" borderId="0" applyNumberFormat="0" applyBorder="0" applyAlignment="0" applyProtection="0"/>
    <xf numFmtId="0" fontId="71" fillId="55" borderId="0" applyNumberFormat="0" applyBorder="0" applyAlignment="0" applyProtection="0"/>
    <xf numFmtId="0" fontId="71" fillId="59" borderId="0" applyNumberFormat="0" applyBorder="0" applyAlignment="0" applyProtection="0"/>
    <xf numFmtId="0" fontId="71" fillId="63" borderId="0" applyNumberFormat="0" applyBorder="0" applyAlignment="0" applyProtection="0"/>
    <xf numFmtId="0" fontId="71" fillId="67" borderId="0" applyNumberFormat="0" applyBorder="0" applyAlignment="0" applyProtection="0"/>
    <xf numFmtId="0" fontId="71" fillId="71" borderId="0" applyNumberFormat="0" applyBorder="0" applyAlignment="0" applyProtection="0"/>
    <xf numFmtId="0" fontId="72" fillId="45" borderId="0" applyNumberFormat="0" applyBorder="0" applyAlignment="0" applyProtection="0"/>
    <xf numFmtId="0" fontId="73" fillId="48" borderId="53" applyNumberFormat="0" applyAlignment="0" applyProtection="0"/>
    <xf numFmtId="0" fontId="74" fillId="49" borderId="56" applyNumberFormat="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63" fillId="0" borderId="0" applyFont="0" applyFill="0" applyBorder="0" applyAlignment="0" applyProtection="0"/>
    <xf numFmtId="43" fontId="63" fillId="0" borderId="0" applyFont="0" applyFill="0" applyBorder="0" applyAlignment="0" applyProtection="0"/>
    <xf numFmtId="3" fontId="63" fillId="0" borderId="0" applyFont="0" applyFill="0" applyBorder="0" applyAlignment="0" applyProtection="0"/>
    <xf numFmtId="44" fontId="75" fillId="0" borderId="0" applyFont="0" applyFill="0" applyBorder="0" applyAlignment="0" applyProtection="0"/>
    <xf numFmtId="44" fontId="75" fillId="0" borderId="0" applyFont="0" applyFill="0" applyBorder="0" applyAlignment="0" applyProtection="0"/>
    <xf numFmtId="0" fontId="76" fillId="0" borderId="0" applyNumberFormat="0" applyFill="0" applyBorder="0" applyAlignment="0" applyProtection="0"/>
    <xf numFmtId="0" fontId="77" fillId="44" borderId="0" applyNumberFormat="0" applyBorder="0" applyAlignment="0" applyProtection="0"/>
    <xf numFmtId="0" fontId="78" fillId="0" borderId="50" applyNumberFormat="0" applyFill="0" applyAlignment="0" applyProtection="0"/>
    <xf numFmtId="0" fontId="79" fillId="0" borderId="51" applyNumberFormat="0" applyFill="0" applyAlignment="0" applyProtection="0"/>
    <xf numFmtId="0" fontId="80" fillId="0" borderId="52" applyNumberFormat="0" applyFill="0" applyAlignment="0" applyProtection="0"/>
    <xf numFmtId="0" fontId="80" fillId="0" borderId="0" applyNumberFormat="0" applyFill="0" applyBorder="0" applyAlignment="0" applyProtection="0"/>
    <xf numFmtId="0" fontId="81" fillId="47" borderId="53" applyNumberFormat="0" applyAlignment="0" applyProtection="0"/>
    <xf numFmtId="0" fontId="82" fillId="0" borderId="55" applyNumberFormat="0" applyFill="0" applyAlignment="0" applyProtection="0"/>
    <xf numFmtId="0" fontId="83" fillId="46" borderId="0" applyNumberFormat="0" applyBorder="0" applyAlignment="0" applyProtection="0"/>
    <xf numFmtId="0" fontId="63" fillId="0" borderId="0"/>
    <xf numFmtId="0" fontId="64" fillId="0" borderId="0"/>
    <xf numFmtId="0" fontId="64" fillId="0" borderId="0"/>
    <xf numFmtId="0" fontId="64" fillId="0" borderId="0"/>
    <xf numFmtId="0" fontId="63" fillId="0" borderId="0"/>
    <xf numFmtId="0" fontId="64" fillId="0" borderId="0"/>
    <xf numFmtId="0" fontId="64" fillId="0" borderId="0"/>
    <xf numFmtId="0" fontId="64" fillId="0" borderId="0"/>
    <xf numFmtId="0" fontId="63" fillId="0" borderId="0"/>
    <xf numFmtId="0" fontId="64" fillId="0" borderId="0"/>
    <xf numFmtId="0" fontId="64" fillId="0" borderId="0"/>
    <xf numFmtId="0" fontId="64" fillId="0" borderId="0"/>
    <xf numFmtId="0" fontId="63" fillId="0" borderId="0"/>
    <xf numFmtId="0" fontId="63" fillId="0" borderId="0"/>
    <xf numFmtId="0" fontId="63" fillId="0" borderId="0"/>
    <xf numFmtId="0" fontId="63" fillId="0" borderId="0"/>
    <xf numFmtId="0" fontId="33" fillId="0" borderId="0"/>
    <xf numFmtId="0" fontId="63"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63" fillId="0" borderId="0"/>
    <xf numFmtId="0" fontId="85" fillId="0" borderId="0"/>
    <xf numFmtId="0" fontId="85" fillId="0" borderId="0"/>
    <xf numFmtId="0" fontId="85" fillId="0" borderId="0"/>
    <xf numFmtId="0" fontId="85" fillId="0" borderId="0"/>
    <xf numFmtId="0" fontId="66" fillId="0" borderId="0"/>
    <xf numFmtId="0" fontId="66" fillId="0" borderId="0"/>
    <xf numFmtId="0" fontId="66" fillId="0" borderId="0"/>
    <xf numFmtId="0" fontId="63" fillId="0" borderId="0"/>
    <xf numFmtId="0" fontId="63" fillId="0" borderId="0"/>
    <xf numFmtId="0" fontId="64" fillId="0" borderId="0"/>
    <xf numFmtId="0" fontId="63" fillId="0" borderId="0"/>
    <xf numFmtId="0" fontId="64" fillId="50" borderId="57" applyNumberFormat="0" applyFont="0" applyAlignment="0" applyProtection="0"/>
    <xf numFmtId="0" fontId="64" fillId="50" borderId="57" applyNumberFormat="0" applyFont="0" applyAlignment="0" applyProtection="0"/>
    <xf numFmtId="0" fontId="64" fillId="50" borderId="57" applyNumberFormat="0" applyFont="0" applyAlignment="0" applyProtection="0"/>
    <xf numFmtId="0" fontId="33" fillId="50" borderId="57" applyNumberFormat="0" applyFont="0" applyAlignment="0" applyProtection="0"/>
    <xf numFmtId="0" fontId="86" fillId="48" borderId="54" applyNumberFormat="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75"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23" fillId="0" borderId="58" applyNumberFormat="0" applyFill="0" applyAlignment="0" applyProtection="0"/>
    <xf numFmtId="0" fontId="87" fillId="0" borderId="0" applyNumberFormat="0" applyFill="0" applyBorder="0" applyAlignment="0" applyProtection="0"/>
    <xf numFmtId="0" fontId="58" fillId="0" borderId="0" applyNumberFormat="0" applyFill="0" applyBorder="0" applyAlignment="0" applyProtection="0"/>
    <xf numFmtId="0" fontId="3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0" fontId="64" fillId="0" borderId="0"/>
    <xf numFmtId="0" fontId="64" fillId="0" borderId="0"/>
    <xf numFmtId="0" fontId="63"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0" fontId="66"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3" fillId="0" borderId="0"/>
    <xf numFmtId="9" fontId="63"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0" fontId="69" fillId="0" borderId="0" applyNumberFormat="0" applyFill="0" applyBorder="0" applyAlignment="0" applyProtection="0"/>
    <xf numFmtId="0" fontId="66" fillId="0" borderId="0"/>
    <xf numFmtId="0" fontId="63" fillId="0" borderId="0"/>
    <xf numFmtId="0" fontId="88" fillId="0" borderId="0" applyFont="0" applyFill="0" applyBorder="0" applyAlignment="0" applyProtection="0"/>
    <xf numFmtId="0" fontId="89" fillId="0" borderId="0"/>
    <xf numFmtId="43" fontId="66"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43" fontId="66" fillId="0" borderId="0" applyFont="0" applyFill="0" applyBorder="0" applyAlignment="0" applyProtection="0"/>
    <xf numFmtId="0" fontId="64" fillId="0" borderId="0"/>
    <xf numFmtId="0" fontId="68" fillId="0" borderId="0" applyNumberFormat="0" applyFill="0" applyBorder="0" applyAlignment="0" applyProtection="0"/>
    <xf numFmtId="9" fontId="64"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50" borderId="57" applyNumberFormat="0" applyFont="0" applyAlignment="0" applyProtection="0"/>
    <xf numFmtId="0" fontId="64" fillId="50" borderId="57" applyNumberFormat="0" applyFont="0" applyAlignment="0" applyProtection="0"/>
    <xf numFmtId="0" fontId="64" fillId="50" borderId="57" applyNumberFormat="0" applyFont="0" applyAlignment="0" applyProtection="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0" fontId="64" fillId="0" borderId="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9" fontId="64" fillId="0" borderId="0" applyFont="0" applyFill="0" applyBorder="0" applyAlignment="0" applyProtection="0"/>
    <xf numFmtId="0" fontId="64" fillId="0" borderId="0"/>
    <xf numFmtId="0" fontId="11" fillId="0" borderId="0" applyNumberFormat="0" applyFill="0" applyBorder="0" applyAlignment="0" applyProtection="0"/>
    <xf numFmtId="0" fontId="67" fillId="0" borderId="0"/>
    <xf numFmtId="43" fontId="64" fillId="0" borderId="0" applyFont="0" applyFill="0" applyBorder="0" applyAlignment="0" applyProtection="0"/>
    <xf numFmtId="43" fontId="66" fillId="0" borderId="0" applyFont="0" applyFill="0" applyBorder="0" applyAlignment="0" applyProtection="0"/>
    <xf numFmtId="0" fontId="66" fillId="0" borderId="0"/>
    <xf numFmtId="0" fontId="66" fillId="0" borderId="0"/>
    <xf numFmtId="43" fontId="64" fillId="0" borderId="0" applyFont="0" applyFill="0" applyBorder="0" applyAlignment="0" applyProtection="0"/>
    <xf numFmtId="9" fontId="66" fillId="0" borderId="0" applyFont="0" applyFill="0" applyBorder="0" applyAlignment="0" applyProtection="0"/>
    <xf numFmtId="0" fontId="64" fillId="0" borderId="0"/>
    <xf numFmtId="0" fontId="64" fillId="0" borderId="0"/>
    <xf numFmtId="43" fontId="64" fillId="0" borderId="0" applyFont="0" applyFill="0" applyBorder="0" applyAlignment="0" applyProtection="0"/>
    <xf numFmtId="0" fontId="64" fillId="0" borderId="0"/>
    <xf numFmtId="0" fontId="64" fillId="0" borderId="0"/>
  </cellStyleXfs>
  <cellXfs count="152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4"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2" borderId="8" xfId="0" applyFont="1" applyFill="1" applyBorder="1" applyAlignment="1">
      <alignment vertical="top"/>
    </xf>
    <xf numFmtId="0" fontId="1" fillId="2" borderId="3"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8"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 fontId="1" fillId="0" borderId="0" xfId="0" applyNumberFormat="1" applyFont="1" applyAlignment="1">
      <alignment horizontal="center"/>
    </xf>
    <xf numFmtId="167" fontId="1" fillId="0" borderId="0" xfId="0" applyNumberFormat="1" applyFont="1"/>
    <xf numFmtId="0" fontId="4" fillId="0" borderId="0" xfId="0" applyFont="1"/>
    <xf numFmtId="164"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0" fontId="4" fillId="8" borderId="0" xfId="0" applyFont="1" applyFill="1" applyAlignment="1">
      <alignment horizontal="center"/>
    </xf>
    <xf numFmtId="165" fontId="4" fillId="9" borderId="0" xfId="0" applyNumberFormat="1" applyFont="1" applyFill="1" applyAlignment="1">
      <alignment horizontal="right"/>
    </xf>
    <xf numFmtId="165" fontId="1" fillId="9" borderId="0" xfId="0" applyNumberFormat="1" applyFont="1" applyFill="1" applyAlignment="1">
      <alignment horizontal="right"/>
    </xf>
    <xf numFmtId="3" fontId="1" fillId="9" borderId="0" xfId="0" applyNumberFormat="1" applyFont="1" applyFill="1" applyAlignment="1">
      <alignment horizontal="right"/>
    </xf>
    <xf numFmtId="0" fontId="1" fillId="0" borderId="0" xfId="0" applyFont="1" applyAlignment="1">
      <alignment horizontal="left" wrapText="1" indent="5"/>
    </xf>
    <xf numFmtId="3" fontId="1" fillId="9" borderId="15" xfId="0" applyNumberFormat="1" applyFont="1" applyFill="1" applyBorder="1" applyAlignment="1">
      <alignment horizontal="right"/>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49" fontId="1" fillId="0" borderId="0" xfId="0" applyNumberFormat="1" applyFont="1" applyAlignment="1">
      <alignment horizontal="left" wrapText="1" indent="1"/>
    </xf>
    <xf numFmtId="17" fontId="12" fillId="9" borderId="16" xfId="0" applyNumberFormat="1" applyFont="1" applyFill="1" applyBorder="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168" fontId="13" fillId="0" borderId="0" xfId="0" applyNumberFormat="1" applyFont="1" applyAlignment="1">
      <alignment horizontal="center"/>
    </xf>
    <xf numFmtId="168" fontId="13" fillId="10" borderId="0" xfId="0" applyNumberFormat="1" applyFont="1" applyFill="1" applyAlignment="1">
      <alignment horizontal="center"/>
    </xf>
    <xf numFmtId="0" fontId="4" fillId="10" borderId="0" xfId="0" applyFont="1" applyFill="1"/>
    <xf numFmtId="0" fontId="4" fillId="10" borderId="0" xfId="0" applyFont="1" applyFill="1" applyAlignment="1">
      <alignment horizontal="center"/>
    </xf>
    <xf numFmtId="0" fontId="4" fillId="0" borderId="0" xfId="0" applyFont="1" applyAlignment="1">
      <alignment horizontal="left" wrapText="1" indent="1"/>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168" fontId="1" fillId="10" borderId="17" xfId="0" applyNumberFormat="1" applyFont="1" applyFill="1" applyBorder="1" applyAlignment="1">
      <alignment horizontal="center"/>
    </xf>
    <xf numFmtId="165" fontId="4" fillId="10" borderId="18" xfId="0" applyNumberFormat="1" applyFont="1" applyFill="1" applyBorder="1" applyAlignment="1">
      <alignment horizontal="right"/>
    </xf>
    <xf numFmtId="165" fontId="4"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168" fontId="1" fillId="11" borderId="17" xfId="0" applyNumberFormat="1" applyFont="1" applyFill="1" applyBorder="1" applyAlignment="1">
      <alignment horizontal="center"/>
    </xf>
    <xf numFmtId="165" fontId="4" fillId="11" borderId="19" xfId="0" applyNumberFormat="1" applyFont="1" applyFill="1" applyBorder="1" applyAlignment="1">
      <alignment horizontal="right"/>
    </xf>
    <xf numFmtId="165" fontId="4" fillId="11" borderId="20" xfId="0" applyNumberFormat="1" applyFont="1" applyFill="1" applyBorder="1" applyAlignment="1">
      <alignment horizontal="right"/>
    </xf>
    <xf numFmtId="165" fontId="1" fillId="11" borderId="20" xfId="0" applyNumberFormat="1" applyFont="1" applyFill="1" applyBorder="1" applyAlignment="1">
      <alignment horizontal="right"/>
    </xf>
    <xf numFmtId="3" fontId="1" fillId="11" borderId="20" xfId="0" applyNumberFormat="1" applyFont="1" applyFill="1" applyBorder="1" applyAlignment="1">
      <alignment horizontal="right"/>
    </xf>
    <xf numFmtId="3" fontId="1" fillId="11" borderId="21" xfId="0" applyNumberFormat="1" applyFont="1" applyFill="1" applyBorder="1" applyAlignment="1">
      <alignment horizontal="right"/>
    </xf>
    <xf numFmtId="3" fontId="1" fillId="10" borderId="15" xfId="0" applyNumberFormat="1" applyFont="1" applyFill="1" applyBorder="1" applyAlignment="1">
      <alignment horizontal="right"/>
    </xf>
    <xf numFmtId="168" fontId="1" fillId="9" borderId="17" xfId="0" applyNumberFormat="1" applyFont="1" applyFill="1" applyBorder="1" applyAlignment="1">
      <alignment horizontal="center"/>
    </xf>
    <xf numFmtId="165" fontId="4" fillId="9" borderId="18" xfId="0" applyNumberFormat="1" applyFont="1" applyFill="1" applyBorder="1" applyAlignment="1">
      <alignment horizontal="right"/>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0" fontId="1" fillId="0" borderId="0" xfId="0" applyFont="1" applyAlignment="1">
      <alignment horizontal="left" wrapText="1" indent="3"/>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168" fontId="1" fillId="0" borderId="27" xfId="0" applyNumberFormat="1" applyFont="1" applyBorder="1" applyAlignment="1">
      <alignment horizontal="center"/>
    </xf>
    <xf numFmtId="17" fontId="12" fillId="10" borderId="16" xfId="0" applyNumberFormat="1" applyFont="1" applyFill="1" applyBorder="1" applyAlignment="1">
      <alignment horizontal="left" wrapText="1"/>
    </xf>
    <xf numFmtId="1" fontId="1" fillId="0" borderId="22" xfId="0" applyNumberFormat="1" applyFont="1" applyBorder="1" applyAlignment="1">
      <alignment horizontal="center"/>
    </xf>
    <xf numFmtId="1" fontId="1" fillId="0" borderId="23" xfId="0" applyNumberFormat="1" applyFont="1" applyBorder="1" applyAlignment="1">
      <alignment horizontal="center"/>
    </xf>
    <xf numFmtId="1" fontId="1" fillId="0" borderId="23" xfId="0" applyNumberFormat="1" applyFont="1" applyBorder="1" applyAlignment="1">
      <alignment horizontal="center" vertical="top"/>
    </xf>
    <xf numFmtId="1" fontId="1" fillId="0" borderId="24"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7" fontId="12" fillId="3" borderId="16" xfId="0" applyNumberFormat="1" applyFont="1" applyFill="1" applyBorder="1" applyAlignment="1">
      <alignment horizontal="left" wrapText="1"/>
    </xf>
    <xf numFmtId="168" fontId="1" fillId="0" borderId="0" xfId="0" applyNumberFormat="1" applyFont="1" applyAlignment="1">
      <alignment horizontal="left" indent="1"/>
    </xf>
    <xf numFmtId="168" fontId="1" fillId="0" borderId="17" xfId="0" applyNumberFormat="1" applyFont="1" applyBorder="1" applyAlignment="1">
      <alignment horizontal="center"/>
    </xf>
    <xf numFmtId="165" fontId="4" fillId="0" borderId="19" xfId="0" applyNumberFormat="1" applyFont="1" applyBorder="1" applyAlignment="1">
      <alignment horizontal="right"/>
    </xf>
    <xf numFmtId="165" fontId="4" fillId="0" borderId="18" xfId="0" applyNumberFormat="1" applyFont="1" applyBorder="1" applyAlignment="1">
      <alignment horizontal="right"/>
    </xf>
    <xf numFmtId="165" fontId="4" fillId="0" borderId="20" xfId="0" applyNumberFormat="1" applyFont="1" applyBorder="1" applyAlignment="1">
      <alignment horizontal="right"/>
    </xf>
    <xf numFmtId="165" fontId="4" fillId="0" borderId="0" xfId="0" applyNumberFormat="1" applyFont="1" applyAlignment="1">
      <alignment horizontal="right"/>
    </xf>
    <xf numFmtId="165" fontId="1" fillId="0" borderId="20" xfId="0" applyNumberFormat="1" applyFont="1" applyBorder="1" applyAlignment="1">
      <alignment horizontal="right"/>
    </xf>
    <xf numFmtId="165" fontId="1" fillId="0" borderId="0" xfId="0" applyNumberFormat="1" applyFont="1" applyAlignment="1">
      <alignment horizontal="right"/>
    </xf>
    <xf numFmtId="3" fontId="1" fillId="0" borderId="20" xfId="0" applyNumberFormat="1" applyFont="1" applyBorder="1" applyAlignment="1">
      <alignment horizontal="right"/>
    </xf>
    <xf numFmtId="3" fontId="1" fillId="0" borderId="0" xfId="0" applyNumberFormat="1" applyFont="1" applyAlignment="1">
      <alignment horizontal="right"/>
    </xf>
    <xf numFmtId="3" fontId="1" fillId="0" borderId="21" xfId="0" applyNumberFormat="1" applyFont="1" applyBorder="1" applyAlignment="1">
      <alignment horizontal="right"/>
    </xf>
    <xf numFmtId="3" fontId="1" fillId="0" borderId="15" xfId="0" applyNumberFormat="1" applyFont="1" applyBorder="1" applyAlignment="1">
      <alignment horizontal="right"/>
    </xf>
    <xf numFmtId="0" fontId="4" fillId="0" borderId="0" xfId="0" applyFont="1" applyAlignment="1">
      <alignment horizontal="center"/>
    </xf>
    <xf numFmtId="1" fontId="1" fillId="12" borderId="23" xfId="0" applyNumberFormat="1" applyFont="1" applyFill="1" applyBorder="1" applyAlignment="1">
      <alignment horizontal="center"/>
    </xf>
    <xf numFmtId="165" fontId="1" fillId="0" borderId="0" xfId="0" applyNumberFormat="1" applyFont="1"/>
    <xf numFmtId="0" fontId="1" fillId="12" borderId="0" xfId="0" applyFont="1" applyFill="1" applyAlignment="1">
      <alignment horizontal="left" indent="3"/>
    </xf>
    <xf numFmtId="165" fontId="1" fillId="12" borderId="20" xfId="0" applyNumberFormat="1" applyFont="1" applyFill="1" applyBorder="1" applyAlignment="1">
      <alignment horizontal="right"/>
    </xf>
    <xf numFmtId="165" fontId="1" fillId="12" borderId="0" xfId="0" applyNumberFormat="1" applyFont="1" applyFill="1" applyAlignment="1">
      <alignment horizontal="right"/>
    </xf>
    <xf numFmtId="2" fontId="1" fillId="12" borderId="3" xfId="0" applyNumberFormat="1" applyFont="1" applyFill="1" applyBorder="1"/>
    <xf numFmtId="2" fontId="1" fillId="12" borderId="32" xfId="0" applyNumberFormat="1" applyFont="1" applyFill="1" applyBorder="1"/>
    <xf numFmtId="0" fontId="4" fillId="12" borderId="0" xfId="0" applyFont="1" applyFill="1" applyAlignment="1">
      <alignment horizontal="left" wrapText="1" indent="1"/>
    </xf>
    <xf numFmtId="165" fontId="4" fillId="12" borderId="20" xfId="0" applyNumberFormat="1" applyFont="1" applyFill="1" applyBorder="1" applyAlignment="1">
      <alignment horizontal="right"/>
    </xf>
    <xf numFmtId="165" fontId="4" fillId="12" borderId="0" xfId="0" applyNumberFormat="1" applyFont="1" applyFill="1" applyAlignment="1">
      <alignment horizontal="right"/>
    </xf>
    <xf numFmtId="0" fontId="4" fillId="12" borderId="0" xfId="0" applyFont="1" applyFill="1" applyAlignment="1">
      <alignment horizontal="left"/>
    </xf>
    <xf numFmtId="0" fontId="1" fillId="0" borderId="0" xfId="0" applyFont="1" applyAlignment="1">
      <alignment horizontal="left" vertical="center" indent="2"/>
    </xf>
    <xf numFmtId="168" fontId="1" fillId="0" borderId="20" xfId="0" applyNumberFormat="1" applyFont="1" applyBorder="1" applyAlignment="1">
      <alignment horizontal="center"/>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3" fillId="11" borderId="0" xfId="0" applyNumberFormat="1" applyFont="1" applyFill="1" applyAlignment="1">
      <alignment horizontal="center"/>
    </xf>
    <xf numFmtId="0" fontId="4" fillId="11" borderId="0" xfId="0" applyFont="1" applyFill="1"/>
    <xf numFmtId="0" fontId="1" fillId="0" borderId="0" xfId="0" applyFont="1" applyAlignment="1">
      <alignment horizontal="left" indent="3"/>
    </xf>
    <xf numFmtId="0" fontId="4" fillId="11" borderId="0" xfId="0" applyFont="1" applyFill="1" applyAlignment="1">
      <alignment horizontal="center"/>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16" xfId="0" applyNumberFormat="1" applyFont="1" applyFill="1" applyBorder="1" applyAlignment="1">
      <alignment horizontal="left" wrapText="1"/>
    </xf>
    <xf numFmtId="0" fontId="1" fillId="0" borderId="0" xfId="0" applyFont="1" applyAlignment="1">
      <alignment horizontal="left" indent="5"/>
    </xf>
    <xf numFmtId="168" fontId="13" fillId="9" borderId="0" xfId="0" applyNumberFormat="1" applyFont="1" applyFill="1" applyAlignment="1">
      <alignment horizontal="center"/>
    </xf>
    <xf numFmtId="0" fontId="4" fillId="9" borderId="0" xfId="0" applyFont="1" applyFill="1"/>
    <xf numFmtId="0" fontId="4"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167" fontId="1" fillId="13" borderId="0" xfId="0" applyNumberFormat="1" applyFont="1" applyFill="1" applyAlignment="1">
      <alignment horizontal="center"/>
    </xf>
    <xf numFmtId="0" fontId="16" fillId="0" borderId="0" xfId="0" applyFont="1"/>
    <xf numFmtId="0" fontId="15" fillId="0" borderId="0" xfId="0" applyFont="1" applyAlignment="1">
      <alignment horizontal="left" indent="1"/>
    </xf>
    <xf numFmtId="0" fontId="15" fillId="0" borderId="0" xfId="0" applyFont="1" applyAlignment="1">
      <alignment horizontal="left" wrapText="1" indent="1"/>
    </xf>
    <xf numFmtId="0" fontId="15" fillId="0" borderId="0" xfId="0" applyFont="1" applyAlignment="1">
      <alignment horizontal="left" indent="2"/>
    </xf>
    <xf numFmtId="0" fontId="15" fillId="0" borderId="0" xfId="0" applyFont="1" applyAlignment="1">
      <alignment horizontal="center" wrapText="1"/>
    </xf>
    <xf numFmtId="9" fontId="15" fillId="0" borderId="0" xfId="0" applyNumberFormat="1" applyFont="1" applyAlignment="1">
      <alignment horizontal="center"/>
    </xf>
    <xf numFmtId="0" fontId="16" fillId="0" borderId="0" xfId="0" applyFont="1" applyAlignment="1">
      <alignment horizontal="center"/>
    </xf>
    <xf numFmtId="167" fontId="1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3" xfId="0" applyFont="1" applyFill="1" applyBorder="1" applyAlignment="1">
      <alignment horizontal="center"/>
    </xf>
    <xf numFmtId="0" fontId="3" fillId="8" borderId="33" xfId="0" applyFont="1" applyFill="1" applyBorder="1" applyAlignment="1">
      <alignment horizontal="center"/>
    </xf>
    <xf numFmtId="0" fontId="3" fillId="8" borderId="4"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4" xfId="0" applyFont="1" applyFill="1" applyBorder="1" applyAlignment="1">
      <alignment horizontal="center"/>
    </xf>
    <xf numFmtId="168" fontId="3" fillId="8" borderId="0" xfId="0" applyNumberFormat="1" applyFont="1" applyFill="1"/>
    <xf numFmtId="168" fontId="3" fillId="0" borderId="0" xfId="0" applyNumberFormat="1" applyFont="1"/>
    <xf numFmtId="0" fontId="1" fillId="0" borderId="3" xfId="0" applyFont="1" applyBorder="1"/>
    <xf numFmtId="0" fontId="1" fillId="0" borderId="2" xfId="0" applyFont="1" applyBorder="1"/>
    <xf numFmtId="165" fontId="3" fillId="0" borderId="0" xfId="0" applyNumberFormat="1" applyFont="1" applyAlignment="1">
      <alignment horizontal="center"/>
    </xf>
    <xf numFmtId="165" fontId="3" fillId="0" borderId="3" xfId="0" applyNumberFormat="1" applyFont="1" applyBorder="1" applyAlignment="1">
      <alignment horizontal="center"/>
    </xf>
    <xf numFmtId="165" fontId="17" fillId="0" borderId="0" xfId="0" applyNumberFormat="1" applyFont="1" applyAlignment="1">
      <alignment horizontal="center"/>
    </xf>
    <xf numFmtId="3" fontId="17" fillId="0" borderId="0" xfId="0" applyNumberFormat="1" applyFont="1" applyAlignment="1">
      <alignment horizontal="center"/>
    </xf>
    <xf numFmtId="0" fontId="3" fillId="0" borderId="0" xfId="0" applyFont="1" applyAlignment="1">
      <alignment horizontal="center" wrapText="1"/>
    </xf>
    <xf numFmtId="3" fontId="3" fillId="0" borderId="0" xfId="0" applyNumberFormat="1" applyFont="1" applyAlignment="1">
      <alignment horizontal="center"/>
    </xf>
    <xf numFmtId="165" fontId="3" fillId="7" borderId="0" xfId="0" applyNumberFormat="1" applyFont="1" applyFill="1" applyAlignment="1">
      <alignment horizontal="center"/>
    </xf>
    <xf numFmtId="165" fontId="17" fillId="7" borderId="0" xfId="0" applyNumberFormat="1" applyFont="1" applyFill="1" applyAlignment="1">
      <alignment horizontal="center"/>
    </xf>
    <xf numFmtId="168" fontId="3" fillId="7" borderId="0" xfId="0" applyNumberFormat="1" applyFont="1" applyFill="1"/>
    <xf numFmtId="0" fontId="3" fillId="0" borderId="0" xfId="0" applyFont="1" applyAlignment="1">
      <alignment horizontal="center"/>
    </xf>
    <xf numFmtId="0" fontId="3" fillId="13" borderId="0" xfId="0" applyFont="1" applyFill="1" applyAlignment="1">
      <alignment horizontal="center" wrapText="1"/>
    </xf>
    <xf numFmtId="165" fontId="3" fillId="8" borderId="0" xfId="0" applyNumberFormat="1" applyFont="1" applyFill="1" applyAlignment="1">
      <alignment horizontal="center"/>
    </xf>
    <xf numFmtId="165" fontId="17" fillId="8" borderId="0" xfId="0" applyNumberFormat="1" applyFont="1" applyFill="1" applyAlignment="1">
      <alignment horizontal="center"/>
    </xf>
    <xf numFmtId="0" fontId="12" fillId="8" borderId="0" xfId="0" applyFont="1" applyFill="1" applyAlignment="1">
      <alignment horizontal="center"/>
    </xf>
    <xf numFmtId="0" fontId="3" fillId="13" borderId="5" xfId="0" applyFont="1" applyFill="1" applyBorder="1"/>
    <xf numFmtId="0" fontId="3" fillId="0" borderId="0" xfId="0" applyFont="1"/>
    <xf numFmtId="168" fontId="3" fillId="12" borderId="0" xfId="0" applyNumberFormat="1" applyFont="1" applyFill="1"/>
    <xf numFmtId="2" fontId="1" fillId="3" borderId="5" xfId="0" applyNumberFormat="1" applyFont="1" applyFill="1" applyBorder="1"/>
    <xf numFmtId="0" fontId="3" fillId="3" borderId="33" xfId="0" applyFont="1" applyFill="1" applyBorder="1"/>
    <xf numFmtId="0" fontId="3" fillId="3" borderId="33" xfId="0" applyFont="1" applyFill="1" applyBorder="1" applyAlignment="1">
      <alignment horizontal="center"/>
    </xf>
    <xf numFmtId="0" fontId="3" fillId="3" borderId="4"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wrapText="1"/>
    </xf>
    <xf numFmtId="0" fontId="3" fillId="0" borderId="0" xfId="0" applyFont="1" applyAlignment="1">
      <alignment horizontal="left" wrapText="1"/>
    </xf>
    <xf numFmtId="0" fontId="3" fillId="0" borderId="5" xfId="0" applyFont="1" applyBorder="1" applyAlignment="1">
      <alignment horizontal="left"/>
    </xf>
    <xf numFmtId="0" fontId="3" fillId="8" borderId="14" xfId="0" applyFont="1" applyFill="1" applyBorder="1" applyAlignment="1">
      <alignment horizontal="center"/>
    </xf>
    <xf numFmtId="4" fontId="3" fillId="0" borderId="0" xfId="0" applyNumberFormat="1" applyFont="1" applyAlignment="1">
      <alignment horizontal="center"/>
    </xf>
    <xf numFmtId="0" fontId="3" fillId="0" borderId="5" xfId="0" applyFont="1" applyBorder="1" applyAlignment="1">
      <alignment horizontal="center"/>
    </xf>
    <xf numFmtId="0" fontId="3" fillId="0" borderId="0" xfId="0" applyFont="1" applyAlignment="1">
      <alignment horizontal="left" vertical="top"/>
    </xf>
    <xf numFmtId="0" fontId="17" fillId="0" borderId="0" xfId="0" applyFont="1" applyAlignment="1">
      <alignment horizontal="left" wrapText="1"/>
    </xf>
    <xf numFmtId="0" fontId="1" fillId="3" borderId="7" xfId="0" applyFont="1" applyFill="1" applyBorder="1"/>
    <xf numFmtId="0" fontId="3" fillId="3" borderId="8" xfId="0" applyFont="1" applyFill="1" applyBorder="1"/>
    <xf numFmtId="0" fontId="3" fillId="3" borderId="8" xfId="0" applyFont="1" applyFill="1" applyBorder="1" applyAlignment="1">
      <alignment horizontal="center"/>
    </xf>
    <xf numFmtId="0" fontId="3" fillId="3" borderId="2" xfId="0" applyFont="1" applyFill="1" applyBorder="1" applyAlignment="1">
      <alignment horizontal="center"/>
    </xf>
    <xf numFmtId="0" fontId="3" fillId="8" borderId="4" xfId="0" applyFont="1" applyFill="1" applyBorder="1"/>
    <xf numFmtId="0" fontId="3" fillId="13" borderId="0" xfId="0" applyFont="1" applyFill="1"/>
    <xf numFmtId="165" fontId="17" fillId="0" borderId="1" xfId="0" applyNumberFormat="1" applyFont="1" applyBorder="1" applyAlignment="1">
      <alignment horizontal="center"/>
    </xf>
    <xf numFmtId="0" fontId="17" fillId="0" borderId="0" xfId="0" applyFont="1"/>
    <xf numFmtId="0" fontId="3" fillId="0" borderId="1" xfId="0" applyFont="1" applyBorder="1" applyAlignment="1">
      <alignment horizontal="left" vertical="top"/>
    </xf>
    <xf numFmtId="0" fontId="3" fillId="0" borderId="0" xfId="0" applyFont="1" applyAlignment="1">
      <alignment horizontal="left" indent="1"/>
    </xf>
    <xf numFmtId="3" fontId="3" fillId="0" borderId="0" xfId="0" applyNumberFormat="1" applyFont="1" applyAlignment="1">
      <alignment horizontal="right"/>
    </xf>
    <xf numFmtId="3" fontId="3" fillId="8" borderId="8" xfId="0" applyNumberFormat="1" applyFont="1" applyFill="1" applyBorder="1" applyAlignment="1">
      <alignment horizontal="center"/>
    </xf>
    <xf numFmtId="0" fontId="17" fillId="0" borderId="1" xfId="0" applyFont="1" applyBorder="1" applyAlignment="1">
      <alignment horizontal="left" wrapText="1"/>
    </xf>
    <xf numFmtId="0" fontId="3" fillId="8" borderId="7" xfId="0" applyFont="1" applyFill="1" applyBorder="1" applyAlignment="1">
      <alignment horizontal="center"/>
    </xf>
    <xf numFmtId="0" fontId="3" fillId="8" borderId="8" xfId="0" applyFont="1" applyFill="1" applyBorder="1" applyAlignment="1">
      <alignment horizontal="center"/>
    </xf>
    <xf numFmtId="0" fontId="3" fillId="8" borderId="2" xfId="0" applyFont="1" applyFill="1" applyBorder="1" applyAlignment="1">
      <alignment horizontal="center"/>
    </xf>
    <xf numFmtId="0" fontId="3" fillId="8" borderId="12" xfId="0" applyFont="1" applyFill="1" applyBorder="1" applyAlignment="1">
      <alignment horizontal="center"/>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3" fillId="8" borderId="6" xfId="0" applyNumberFormat="1" applyFont="1" applyFill="1" applyBorder="1" applyAlignment="1">
      <alignment horizontal="center"/>
    </xf>
    <xf numFmtId="0" fontId="4" fillId="0" borderId="0" xfId="0" applyFont="1" applyAlignment="1">
      <alignment horizontal="center" wrapText="1"/>
    </xf>
    <xf numFmtId="169" fontId="1" fillId="0" borderId="0" xfId="0" applyNumberFormat="1" applyFont="1"/>
    <xf numFmtId="0" fontId="4" fillId="3" borderId="5" xfId="0" applyFont="1" applyFill="1" applyBorder="1" applyAlignment="1">
      <alignment horizontal="center" wrapText="1"/>
    </xf>
    <xf numFmtId="0" fontId="4" fillId="3" borderId="4" xfId="0" applyFont="1" applyFill="1" applyBorder="1" applyAlignment="1">
      <alignment wrapText="1"/>
    </xf>
    <xf numFmtId="0" fontId="3" fillId="0" borderId="0" xfId="0" applyFont="1" applyAlignment="1">
      <alignment wrapText="1"/>
    </xf>
    <xf numFmtId="0" fontId="3" fillId="13" borderId="2" xfId="0" applyFont="1" applyFill="1" applyBorder="1" applyAlignment="1">
      <alignment horizontal="center"/>
    </xf>
    <xf numFmtId="0" fontId="3" fillId="13" borderId="7" xfId="0" applyFont="1" applyFill="1" applyBorder="1" applyAlignment="1">
      <alignment horizontal="center"/>
    </xf>
    <xf numFmtId="0" fontId="3" fillId="13" borderId="8" xfId="0" applyFont="1" applyFill="1" applyBorder="1" applyAlignment="1">
      <alignment horizontal="center"/>
    </xf>
    <xf numFmtId="0" fontId="3" fillId="0" borderId="6" xfId="0" applyFont="1" applyBorder="1" applyAlignment="1">
      <alignment horizontal="center"/>
    </xf>
    <xf numFmtId="0" fontId="3" fillId="13" borderId="33" xfId="0" applyFont="1" applyFill="1" applyBorder="1"/>
    <xf numFmtId="165" fontId="3" fillId="8" borderId="33" xfId="0" applyNumberFormat="1" applyFont="1" applyFill="1" applyBorder="1" applyAlignment="1">
      <alignment horizontal="center"/>
    </xf>
    <xf numFmtId="0" fontId="3" fillId="8" borderId="33" xfId="0" applyFont="1" applyFill="1" applyBorder="1"/>
    <xf numFmtId="0" fontId="12" fillId="0" borderId="1" xfId="0" applyFont="1" applyBorder="1"/>
    <xf numFmtId="0" fontId="3" fillId="8" borderId="6" xfId="0" applyFont="1" applyFill="1" applyBorder="1" applyAlignment="1">
      <alignment horizontal="center"/>
    </xf>
    <xf numFmtId="0" fontId="3" fillId="13" borderId="33" xfId="0" applyFont="1" applyFill="1" applyBorder="1" applyAlignment="1">
      <alignment horizontal="center"/>
    </xf>
    <xf numFmtId="3" fontId="3" fillId="13" borderId="0" xfId="0" applyNumberFormat="1" applyFont="1" applyFill="1" applyAlignment="1">
      <alignment horizontal="center"/>
    </xf>
    <xf numFmtId="3" fontId="17" fillId="13" borderId="0" xfId="0" applyNumberFormat="1" applyFont="1" applyFill="1" applyAlignment="1">
      <alignment horizontal="center"/>
    </xf>
    <xf numFmtId="165" fontId="3" fillId="8" borderId="4" xfId="0" applyNumberFormat="1" applyFont="1" applyFill="1" applyBorder="1" applyAlignment="1">
      <alignment horizontal="center"/>
    </xf>
    <xf numFmtId="0" fontId="3" fillId="13" borderId="4" xfId="0" applyFont="1" applyFill="1" applyBorder="1"/>
    <xf numFmtId="0" fontId="3" fillId="3" borderId="0" xfId="0" applyFont="1" applyFill="1"/>
    <xf numFmtId="0" fontId="3" fillId="3" borderId="0" xfId="0" applyFont="1" applyFill="1" applyAlignment="1">
      <alignment horizontal="center"/>
    </xf>
    <xf numFmtId="165" fontId="17" fillId="8" borderId="3" xfId="0" applyNumberFormat="1" applyFont="1" applyFill="1" applyBorder="1" applyAlignment="1">
      <alignment horizontal="center"/>
    </xf>
    <xf numFmtId="3" fontId="17" fillId="13" borderId="3" xfId="0" applyNumberFormat="1" applyFont="1" applyFill="1" applyBorder="1" applyAlignment="1">
      <alignment horizontal="center"/>
    </xf>
    <xf numFmtId="0" fontId="3" fillId="13" borderId="3" xfId="0" applyFont="1" applyFill="1" applyBorder="1" applyAlignment="1">
      <alignment horizontal="center" wrapText="1"/>
    </xf>
    <xf numFmtId="165" fontId="3" fillId="8" borderId="3" xfId="0" applyNumberFormat="1" applyFont="1" applyFill="1" applyBorder="1" applyAlignment="1">
      <alignment horizontal="center"/>
    </xf>
    <xf numFmtId="3" fontId="3" fillId="13" borderId="3" xfId="0" applyNumberFormat="1" applyFont="1" applyFill="1" applyBorder="1" applyAlignment="1">
      <alignment horizontal="center"/>
    </xf>
    <xf numFmtId="0" fontId="3" fillId="0" borderId="35" xfId="0" applyFont="1" applyBorder="1"/>
    <xf numFmtId="0" fontId="3" fillId="0" borderId="36" xfId="0" applyFont="1" applyBorder="1" applyAlignment="1">
      <alignment horizontal="center"/>
    </xf>
    <xf numFmtId="0" fontId="3" fillId="0" borderId="35" xfId="0" applyFont="1" applyBorder="1" applyAlignment="1">
      <alignment horizontal="center"/>
    </xf>
    <xf numFmtId="165" fontId="3" fillId="0" borderId="35" xfId="0" applyNumberFormat="1" applyFont="1" applyBorder="1" applyAlignment="1">
      <alignment horizontal="center"/>
    </xf>
    <xf numFmtId="0" fontId="3" fillId="0" borderId="33" xfId="0" applyFont="1" applyBorder="1" applyAlignment="1">
      <alignment horizontal="center"/>
    </xf>
    <xf numFmtId="2" fontId="1" fillId="3" borderId="0" xfId="0" applyNumberFormat="1" applyFont="1" applyFill="1"/>
    <xf numFmtId="0" fontId="1" fillId="3" borderId="0" xfId="0" applyFont="1" applyFill="1"/>
    <xf numFmtId="4" fontId="3" fillId="0" borderId="3" xfId="0" applyNumberFormat="1" applyFont="1" applyBorder="1" applyAlignment="1">
      <alignment horizontal="center"/>
    </xf>
    <xf numFmtId="168" fontId="3" fillId="8" borderId="35" xfId="0" applyNumberFormat="1" applyFont="1" applyFill="1" applyBorder="1"/>
    <xf numFmtId="168" fontId="3" fillId="8" borderId="37" xfId="0" applyNumberFormat="1" applyFont="1" applyFill="1" applyBorder="1"/>
    <xf numFmtId="3" fontId="3" fillId="0" borderId="8" xfId="0" applyNumberFormat="1" applyFont="1" applyBorder="1" applyAlignment="1">
      <alignment horizontal="center" vertical="top"/>
    </xf>
    <xf numFmtId="165" fontId="3" fillId="0" borderId="4" xfId="0" applyNumberFormat="1" applyFont="1" applyBorder="1" applyAlignment="1">
      <alignment horizontal="center"/>
    </xf>
    <xf numFmtId="168" fontId="3" fillId="0" borderId="3" xfId="0" applyNumberFormat="1" applyFont="1" applyBorder="1" applyAlignment="1">
      <alignment horizontal="center"/>
    </xf>
    <xf numFmtId="165" fontId="3" fillId="0" borderId="2" xfId="0" applyNumberFormat="1" applyFont="1" applyBorder="1" applyAlignment="1">
      <alignment horizontal="center"/>
    </xf>
    <xf numFmtId="165" fontId="3" fillId="0" borderId="0" xfId="0" applyNumberFormat="1" applyFont="1" applyAlignment="1">
      <alignment horizontal="center" vertical="top"/>
    </xf>
    <xf numFmtId="0" fontId="12" fillId="0" borderId="1" xfId="0" applyFont="1" applyBorder="1" applyAlignment="1">
      <alignment horizontal="left"/>
    </xf>
    <xf numFmtId="0" fontId="12" fillId="0" borderId="1" xfId="0" applyFont="1" applyBorder="1" applyAlignment="1">
      <alignment horizontal="left" vertical="top"/>
    </xf>
    <xf numFmtId="0" fontId="3" fillId="0" borderId="7" xfId="0" applyFont="1" applyBorder="1" applyAlignment="1">
      <alignment horizontal="left" vertical="top"/>
    </xf>
    <xf numFmtId="0" fontId="1" fillId="0" borderId="7" xfId="0" applyFont="1" applyBorder="1"/>
    <xf numFmtId="165"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12" fillId="0" borderId="0" xfId="0" applyNumberFormat="1" applyFont="1" applyAlignment="1">
      <alignment horizontal="center" vertical="top" wrapText="1"/>
    </xf>
    <xf numFmtId="165" fontId="17" fillId="0" borderId="33" xfId="0" applyNumberFormat="1" applyFont="1" applyBorder="1" applyAlignment="1">
      <alignment horizontal="center"/>
    </xf>
    <xf numFmtId="2" fontId="3" fillId="0" borderId="8" xfId="0" applyNumberFormat="1" applyFont="1" applyBorder="1"/>
    <xf numFmtId="165" fontId="3" fillId="7" borderId="0" xfId="0" applyNumberFormat="1" applyFont="1" applyFill="1" applyAlignment="1">
      <alignment horizontal="center" wrapText="1"/>
    </xf>
    <xf numFmtId="0" fontId="3" fillId="8" borderId="0" xfId="0" applyFont="1" applyFill="1" applyAlignment="1">
      <alignment horizontal="center"/>
    </xf>
    <xf numFmtId="165" fontId="3" fillId="8" borderId="0" xfId="0" applyNumberFormat="1" applyFont="1" applyFill="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 fontId="3" fillId="13" borderId="0" xfId="0" applyNumberFormat="1" applyFont="1" applyFill="1" applyAlignment="1">
      <alignment horizontal="center" wrapText="1"/>
    </xf>
    <xf numFmtId="1" fontId="3" fillId="13" borderId="0" xfId="0" applyNumberFormat="1" applyFont="1" applyFill="1" applyAlignment="1">
      <alignment horizontal="center"/>
    </xf>
    <xf numFmtId="3" fontId="3" fillId="12" borderId="0" xfId="0" applyNumberFormat="1" applyFont="1" applyFill="1" applyAlignment="1">
      <alignment horizontal="center" wrapText="1"/>
    </xf>
    <xf numFmtId="3" fontId="3" fillId="13" borderId="0" xfId="0" applyNumberFormat="1" applyFont="1" applyFill="1" applyAlignment="1">
      <alignment horizontal="center" vertical="top" wrapText="1"/>
    </xf>
    <xf numFmtId="3" fontId="3" fillId="8" borderId="0" xfId="0" applyNumberFormat="1" applyFont="1" applyFill="1" applyAlignment="1">
      <alignment horizontal="center"/>
    </xf>
    <xf numFmtId="3" fontId="3" fillId="8" borderId="0" xfId="0" applyNumberFormat="1" applyFont="1" applyFill="1" applyAlignment="1">
      <alignment horizontal="center" wrapText="1"/>
    </xf>
    <xf numFmtId="0" fontId="3" fillId="13" borderId="5" xfId="0" applyFont="1" applyFill="1" applyBorder="1" applyAlignment="1">
      <alignment wrapText="1"/>
    </xf>
    <xf numFmtId="0" fontId="3" fillId="13" borderId="33" xfId="0" applyFont="1" applyFill="1" applyBorder="1" applyAlignment="1">
      <alignment wrapText="1"/>
    </xf>
    <xf numFmtId="0" fontId="3" fillId="8" borderId="33" xfId="0" applyFont="1" applyFill="1" applyBorder="1" applyAlignment="1">
      <alignment wrapText="1"/>
    </xf>
    <xf numFmtId="0" fontId="3" fillId="8" borderId="4" xfId="0" applyFont="1" applyFill="1" applyBorder="1" applyAlignment="1">
      <alignment wrapText="1"/>
    </xf>
    <xf numFmtId="165" fontId="17" fillId="0" borderId="0" xfId="0" applyNumberFormat="1" applyFont="1" applyAlignment="1">
      <alignment horizontal="center" wrapText="1"/>
    </xf>
    <xf numFmtId="0" fontId="3" fillId="8" borderId="14" xfId="0" applyFont="1" applyFill="1" applyBorder="1"/>
    <xf numFmtId="3" fontId="3" fillId="8" borderId="12" xfId="0" applyNumberFormat="1" applyFont="1" applyFill="1" applyBorder="1" applyAlignment="1">
      <alignment horizontal="center"/>
    </xf>
    <xf numFmtId="0" fontId="3" fillId="0" borderId="0" xfId="0" applyFont="1" applyAlignment="1">
      <alignment horizontal="left" vertical="top" wrapText="1" indent="2"/>
    </xf>
    <xf numFmtId="3" fontId="3"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3" fillId="8" borderId="33" xfId="0" applyNumberFormat="1" applyFont="1" applyFill="1" applyBorder="1" applyAlignment="1">
      <alignment horizontal="center" wrapText="1"/>
    </xf>
    <xf numFmtId="168" fontId="3" fillId="8" borderId="0" xfId="0" applyNumberFormat="1" applyFont="1" applyFill="1" applyAlignment="1">
      <alignment horizontal="center" wrapText="1"/>
    </xf>
    <xf numFmtId="0" fontId="3" fillId="3" borderId="16" xfId="0" applyFont="1" applyFill="1" applyBorder="1" applyAlignment="1">
      <alignment horizontal="center" vertical="center" wrapText="1"/>
    </xf>
    <xf numFmtId="0" fontId="12" fillId="11" borderId="0" xfId="0" applyFont="1" applyFill="1" applyAlignment="1">
      <alignment horizontal="center" vertical="center" wrapText="1"/>
    </xf>
    <xf numFmtId="165" fontId="3" fillId="12" borderId="0" xfId="0" applyNumberFormat="1" applyFont="1" applyFill="1" applyAlignment="1">
      <alignment horizontal="center" vertical="top" wrapText="1"/>
    </xf>
    <xf numFmtId="165" fontId="3" fillId="2" borderId="0" xfId="0" applyNumberFormat="1" applyFont="1" applyFill="1" applyAlignment="1">
      <alignment horizontal="center" wrapText="1"/>
    </xf>
    <xf numFmtId="0" fontId="3" fillId="0" borderId="5" xfId="0" applyFont="1" applyBorder="1" applyAlignment="1">
      <alignment horizontal="left" wrapText="1"/>
    </xf>
    <xf numFmtId="0" fontId="3" fillId="0" borderId="5" xfId="0" applyFont="1" applyBorder="1" applyAlignment="1">
      <alignment horizontal="center" wrapText="1"/>
    </xf>
    <xf numFmtId="0" fontId="3" fillId="0" borderId="33" xfId="0" applyFont="1" applyBorder="1" applyAlignment="1">
      <alignment horizontal="center" wrapText="1"/>
    </xf>
    <xf numFmtId="165" fontId="3" fillId="0" borderId="33" xfId="0" applyNumberFormat="1" applyFont="1" applyBorder="1" applyAlignment="1">
      <alignment horizontal="center" wrapText="1"/>
    </xf>
    <xf numFmtId="165" fontId="3" fillId="13" borderId="0" xfId="0" applyNumberFormat="1" applyFont="1" applyFill="1" applyAlignment="1">
      <alignment horizontal="center" wrapText="1"/>
    </xf>
    <xf numFmtId="3" fontId="3" fillId="0" borderId="3" xfId="0" applyNumberFormat="1" applyFont="1" applyBorder="1" applyAlignment="1">
      <alignment horizontal="center" wrapText="1"/>
    </xf>
    <xf numFmtId="0" fontId="3" fillId="0" borderId="7" xfId="0" applyFont="1" applyBorder="1"/>
    <xf numFmtId="0" fontId="3" fillId="0" borderId="8" xfId="0" applyFont="1" applyBorder="1"/>
    <xf numFmtId="3" fontId="3" fillId="0" borderId="1" xfId="0" applyNumberFormat="1" applyFont="1" applyBorder="1" applyAlignment="1">
      <alignment horizontal="center" vertical="top" wrapText="1"/>
    </xf>
    <xf numFmtId="2" fontId="3" fillId="8" borderId="8" xfId="0" applyNumberFormat="1" applyFont="1" applyFill="1" applyBorder="1"/>
    <xf numFmtId="165" fontId="17" fillId="8" borderId="33" xfId="0" applyNumberFormat="1" applyFont="1" applyFill="1" applyBorder="1" applyAlignment="1">
      <alignment horizontal="center"/>
    </xf>
    <xf numFmtId="2" fontId="3" fillId="8" borderId="2" xfId="0" applyNumberFormat="1" applyFont="1" applyFill="1" applyBorder="1"/>
    <xf numFmtId="0" fontId="3" fillId="0" borderId="1" xfId="0" applyFont="1" applyBorder="1" applyAlignment="1">
      <alignment horizontal="left" vertical="top" wrapText="1" indent="2"/>
    </xf>
    <xf numFmtId="3" fontId="3" fillId="0" borderId="3" xfId="0" applyNumberFormat="1" applyFont="1" applyBorder="1" applyAlignment="1">
      <alignment horizontal="center"/>
    </xf>
    <xf numFmtId="3" fontId="3" fillId="13" borderId="8" xfId="0" applyNumberFormat="1" applyFont="1" applyFill="1" applyBorder="1" applyAlignment="1">
      <alignment horizontal="center" vertical="top" wrapText="1"/>
    </xf>
    <xf numFmtId="1" fontId="3" fillId="0" borderId="5" xfId="0" applyNumberFormat="1" applyFont="1" applyBorder="1" applyAlignment="1">
      <alignment horizontal="center"/>
    </xf>
    <xf numFmtId="1" fontId="3" fillId="0" borderId="33" xfId="0" applyNumberFormat="1" applyFont="1" applyBorder="1" applyAlignment="1">
      <alignment horizontal="center"/>
    </xf>
    <xf numFmtId="1" fontId="3" fillId="13" borderId="33" xfId="0" applyNumberFormat="1" applyFont="1" applyFill="1" applyBorder="1" applyAlignment="1">
      <alignment horizontal="center"/>
    </xf>
    <xf numFmtId="0" fontId="17" fillId="0" borderId="0" xfId="0" applyFont="1" applyAlignment="1">
      <alignment horizontal="left"/>
    </xf>
    <xf numFmtId="0" fontId="17" fillId="0" borderId="5" xfId="0" applyFont="1" applyBorder="1" applyAlignment="1">
      <alignment horizontal="left"/>
    </xf>
    <xf numFmtId="0" fontId="17" fillId="0" borderId="33" xfId="0" applyFont="1" applyBorder="1" applyAlignment="1">
      <alignment horizontal="left"/>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2" xfId="0" applyNumberFormat="1" applyFont="1" applyBorder="1" applyAlignment="1">
      <alignment horizontal="center" wrapText="1"/>
    </xf>
    <xf numFmtId="0" fontId="3" fillId="0" borderId="38" xfId="0" applyFont="1" applyBorder="1" applyAlignment="1">
      <alignment wrapText="1"/>
    </xf>
    <xf numFmtId="0" fontId="3" fillId="0" borderId="34"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4"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7" xfId="0" applyFont="1" applyBorder="1" applyAlignment="1">
      <alignment horizontal="left" wrapText="1" indent="4"/>
    </xf>
    <xf numFmtId="3" fontId="18"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19" fillId="0" borderId="0" xfId="0" applyFont="1"/>
    <xf numFmtId="165" fontId="3" fillId="8" borderId="8"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168" fontId="3" fillId="0" borderId="0" xfId="0" applyNumberFormat="1" applyFont="1" applyAlignment="1">
      <alignment horizontal="center" wrapText="1"/>
    </xf>
    <xf numFmtId="165" fontId="3"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6" xfId="0" applyNumberFormat="1"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8"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4" borderId="8" xfId="0" applyNumberFormat="1" applyFont="1" applyFill="1" applyBorder="1" applyAlignment="1">
      <alignment horizontal="center" wrapText="1"/>
    </xf>
    <xf numFmtId="0" fontId="3" fillId="0" borderId="1" xfId="0" applyFont="1" applyBorder="1" applyAlignment="1">
      <alignment horizontal="left" wrapText="1" indent="2"/>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3"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3" fontId="3" fillId="0" borderId="1" xfId="0" applyNumberFormat="1" applyFont="1" applyBorder="1" applyAlignment="1">
      <alignment horizontal="center" wrapText="1"/>
    </xf>
    <xf numFmtId="0" fontId="17" fillId="0" borderId="1" xfId="0" applyFont="1" applyBorder="1" applyAlignment="1">
      <alignment wrapText="1"/>
    </xf>
    <xf numFmtId="165" fontId="3" fillId="0" borderId="1" xfId="0" applyNumberFormat="1" applyFont="1" applyBorder="1" applyAlignment="1">
      <alignment horizontal="center" vertical="top" wrapText="1"/>
    </xf>
    <xf numFmtId="0" fontId="3" fillId="0" borderId="2" xfId="0" applyFont="1" applyBorder="1"/>
    <xf numFmtId="0" fontId="3" fillId="8" borderId="3" xfId="0" applyFont="1" applyFill="1" applyBorder="1" applyAlignment="1">
      <alignment horizontal="center"/>
    </xf>
    <xf numFmtId="0" fontId="3" fillId="8" borderId="1" xfId="0" applyFont="1" applyFill="1" applyBorder="1" applyAlignment="1">
      <alignment horizontal="center"/>
    </xf>
    <xf numFmtId="165" fontId="3" fillId="0" borderId="33" xfId="0" applyNumberFormat="1" applyFont="1" applyBorder="1" applyAlignment="1">
      <alignment horizontal="center"/>
    </xf>
    <xf numFmtId="3" fontId="3" fillId="0" borderId="0" xfId="0" applyNumberFormat="1" applyFont="1" applyAlignment="1">
      <alignment vertical="top"/>
    </xf>
    <xf numFmtId="0" fontId="3" fillId="0" borderId="38" xfId="0" applyFont="1" applyBorder="1"/>
    <xf numFmtId="1" fontId="3" fillId="0" borderId="0" xfId="0" applyNumberFormat="1" applyFont="1" applyAlignment="1">
      <alignment horizontal="center"/>
    </xf>
    <xf numFmtId="171" fontId="1" fillId="0" borderId="0" xfId="0" applyNumberFormat="1" applyFont="1"/>
    <xf numFmtId="0" fontId="3" fillId="13" borderId="5" xfId="0" applyFont="1" applyFill="1" applyBorder="1" applyAlignment="1">
      <alignment horizontal="center" vertical="center"/>
    </xf>
    <xf numFmtId="1" fontId="3" fillId="8" borderId="0" xfId="0" applyNumberFormat="1" applyFont="1" applyFill="1"/>
    <xf numFmtId="1" fontId="3" fillId="0" borderId="0" xfId="0" applyNumberFormat="1" applyFont="1"/>
    <xf numFmtId="168" fontId="3" fillId="6" borderId="0" xfId="0" applyNumberFormat="1" applyFont="1" applyFill="1"/>
    <xf numFmtId="165" fontId="3" fillId="13" borderId="0" xfId="0" applyNumberFormat="1" applyFont="1" applyFill="1" applyAlignment="1">
      <alignment horizontal="center"/>
    </xf>
    <xf numFmtId="0" fontId="3" fillId="0" borderId="6"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1" fillId="0" borderId="4" xfId="0" applyFont="1" applyBorder="1"/>
    <xf numFmtId="0" fontId="1" fillId="0" borderId="6" xfId="0" applyFont="1" applyBorder="1"/>
    <xf numFmtId="3" fontId="3" fillId="0" borderId="6" xfId="0" applyNumberFormat="1" applyFont="1" applyBorder="1" applyAlignment="1">
      <alignment horizontal="center"/>
    </xf>
    <xf numFmtId="0" fontId="7" fillId="0" borderId="0" xfId="0" applyFont="1" applyAlignment="1">
      <alignment horizontal="right" vertical="center" wrapText="1"/>
    </xf>
    <xf numFmtId="3" fontId="3" fillId="0" borderId="8" xfId="0" applyNumberFormat="1" applyFont="1" applyBorder="1" applyAlignment="1">
      <alignment horizontal="center" vertical="center"/>
    </xf>
    <xf numFmtId="3" fontId="3" fillId="0" borderId="0" xfId="0" applyNumberFormat="1" applyFont="1" applyAlignment="1">
      <alignment horizontal="center" vertical="center"/>
    </xf>
    <xf numFmtId="168" fontId="3" fillId="0" borderId="0" xfId="0" applyNumberFormat="1" applyFont="1" applyAlignment="1">
      <alignment horizontal="center" vertical="center"/>
    </xf>
    <xf numFmtId="1" fontId="3" fillId="7" borderId="0" xfId="0" applyNumberFormat="1" applyFont="1" applyFill="1"/>
    <xf numFmtId="3" fontId="17" fillId="7" borderId="0" xfId="0" applyNumberFormat="1" applyFont="1" applyFill="1" applyAlignment="1">
      <alignment horizontal="center"/>
    </xf>
    <xf numFmtId="1" fontId="3" fillId="8" borderId="0" xfId="0" applyNumberFormat="1" applyFont="1" applyFill="1" applyAlignment="1">
      <alignment horizontal="center" vertical="center"/>
    </xf>
    <xf numFmtId="168" fontId="3" fillId="8" borderId="0" xfId="0" applyNumberFormat="1" applyFont="1" applyFill="1" applyAlignment="1">
      <alignment horizontal="center" vertical="center"/>
    </xf>
    <xf numFmtId="3" fontId="3" fillId="8" borderId="0" xfId="0" applyNumberFormat="1" applyFont="1" applyFill="1" applyAlignment="1">
      <alignment horizontal="center" vertical="center"/>
    </xf>
    <xf numFmtId="1" fontId="17" fillId="8" borderId="0" xfId="0" applyNumberFormat="1" applyFont="1" applyFill="1" applyAlignment="1">
      <alignment horizontal="center" vertical="center"/>
    </xf>
    <xf numFmtId="165" fontId="3" fillId="12" borderId="0" xfId="0" applyNumberFormat="1" applyFont="1" applyFill="1" applyAlignment="1">
      <alignment horizontal="center"/>
    </xf>
    <xf numFmtId="0" fontId="3" fillId="13" borderId="0" xfId="0" applyFont="1" applyFill="1" applyAlignment="1">
      <alignment horizontal="center" vertical="center"/>
    </xf>
    <xf numFmtId="3" fontId="17" fillId="8" borderId="0" xfId="0" applyNumberFormat="1" applyFont="1" applyFill="1" applyAlignment="1">
      <alignment horizontal="center"/>
    </xf>
    <xf numFmtId="0" fontId="3" fillId="0" borderId="1" xfId="0" applyFont="1" applyBorder="1" applyAlignment="1">
      <alignment horizontal="left"/>
    </xf>
    <xf numFmtId="3" fontId="3" fillId="0" borderId="33" xfId="0" applyNumberFormat="1" applyFont="1" applyBorder="1" applyAlignment="1">
      <alignment horizontal="center"/>
    </xf>
    <xf numFmtId="165" fontId="3" fillId="0" borderId="6" xfId="0" applyNumberFormat="1" applyFont="1" applyBorder="1" applyAlignment="1">
      <alignment horizontal="center"/>
    </xf>
    <xf numFmtId="165" fontId="3" fillId="0" borderId="8" xfId="0" applyNumberFormat="1" applyFont="1" applyBorder="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13" borderId="0" xfId="0" applyNumberFormat="1" applyFont="1" applyFill="1" applyAlignment="1">
      <alignment horizontal="center" vertical="center"/>
    </xf>
    <xf numFmtId="0" fontId="20" fillId="0" borderId="5" xfId="0" applyFont="1" applyBorder="1" applyAlignment="1">
      <alignment horizontal="center" vertical="center" wrapText="1"/>
    </xf>
    <xf numFmtId="0" fontId="3" fillId="0" borderId="33" xfId="0" applyFont="1" applyBorder="1" applyAlignment="1">
      <alignment horizontal="center" vertical="center"/>
    </xf>
    <xf numFmtId="3" fontId="3" fillId="0" borderId="33" xfId="0" applyNumberFormat="1" applyFont="1" applyBorder="1" applyAlignment="1">
      <alignment horizontal="center" vertical="center"/>
    </xf>
    <xf numFmtId="0" fontId="3" fillId="0" borderId="0" xfId="0" applyFont="1" applyAlignment="1">
      <alignment horizontal="left"/>
    </xf>
    <xf numFmtId="3" fontId="3" fillId="13" borderId="33" xfId="0" applyNumberFormat="1" applyFont="1" applyFill="1" applyBorder="1" applyAlignment="1">
      <alignment horizontal="center"/>
    </xf>
    <xf numFmtId="0" fontId="20" fillId="0" borderId="1" xfId="0" applyFont="1" applyBorder="1" applyAlignment="1">
      <alignment horizontal="center" vertical="center" wrapText="1"/>
    </xf>
    <xf numFmtId="0" fontId="3" fillId="13" borderId="1" xfId="0" applyFont="1" applyFill="1" applyBorder="1" applyAlignment="1">
      <alignment horizontal="center" vertical="center"/>
    </xf>
    <xf numFmtId="0" fontId="3" fillId="13" borderId="3"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3" fontId="3" fillId="8" borderId="8" xfId="0" applyNumberFormat="1"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33" xfId="0" applyFont="1" applyBorder="1" applyAlignment="1">
      <alignment horizontal="left"/>
    </xf>
    <xf numFmtId="165" fontId="3" fillId="2" borderId="33" xfId="0" applyNumberFormat="1" applyFont="1" applyFill="1" applyBorder="1" applyAlignment="1">
      <alignment horizontal="center"/>
    </xf>
    <xf numFmtId="168" fontId="12" fillId="0" borderId="0" xfId="0" applyNumberFormat="1" applyFont="1"/>
    <xf numFmtId="172" fontId="3" fillId="0" borderId="0" xfId="0" applyNumberFormat="1" applyFont="1" applyAlignment="1">
      <alignment horizontal="center"/>
    </xf>
    <xf numFmtId="3" fontId="3" fillId="0" borderId="8" xfId="0" applyNumberFormat="1" applyFont="1" applyBorder="1" applyAlignment="1">
      <alignment horizontal="center"/>
    </xf>
    <xf numFmtId="165" fontId="3" fillId="0" borderId="0" xfId="0" applyNumberFormat="1" applyFont="1"/>
    <xf numFmtId="0" fontId="3" fillId="0" borderId="5" xfId="0" applyFont="1" applyBorder="1" applyAlignment="1">
      <alignment wrapText="1"/>
    </xf>
    <xf numFmtId="0" fontId="3" fillId="0" borderId="7" xfId="0" applyFont="1" applyBorder="1" applyAlignment="1">
      <alignment vertical="top" wrapText="1"/>
    </xf>
    <xf numFmtId="0" fontId="17" fillId="0" borderId="1" xfId="0" applyFont="1" applyBorder="1" applyAlignment="1">
      <alignment horizontal="left" vertical="top" wrapText="1"/>
    </xf>
    <xf numFmtId="0" fontId="20"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8" xfId="0" applyNumberFormat="1" applyFont="1" applyBorder="1" applyAlignment="1">
      <alignment horizontal="center" wrapText="1"/>
    </xf>
    <xf numFmtId="0" fontId="2" fillId="0" borderId="0" xfId="0" applyFont="1"/>
    <xf numFmtId="0" fontId="1" fillId="0" borderId="33" xfId="0" applyFont="1" applyBorder="1"/>
    <xf numFmtId="3" fontId="12" fillId="0" borderId="0" xfId="0" applyNumberFormat="1" applyFont="1" applyAlignment="1">
      <alignment horizontal="center" wrapText="1"/>
    </xf>
    <xf numFmtId="3" fontId="12" fillId="0" borderId="8" xfId="0" applyNumberFormat="1" applyFont="1" applyBorder="1" applyAlignment="1">
      <alignment horizontal="center" wrapText="1"/>
    </xf>
    <xf numFmtId="0" fontId="1" fillId="7" borderId="0" xfId="0" applyFont="1" applyFill="1"/>
    <xf numFmtId="0" fontId="2" fillId="7" borderId="0" xfId="0" applyFont="1" applyFill="1"/>
    <xf numFmtId="0" fontId="3" fillId="8" borderId="5" xfId="0" applyFont="1" applyFill="1" applyBorder="1"/>
    <xf numFmtId="0" fontId="1" fillId="8" borderId="33" xfId="0" applyFont="1" applyFill="1" applyBorder="1"/>
    <xf numFmtId="0" fontId="1" fillId="8" borderId="0" xfId="0" applyFont="1" applyFill="1"/>
    <xf numFmtId="3" fontId="17" fillId="8" borderId="0" xfId="0" applyNumberFormat="1" applyFont="1" applyFill="1" applyAlignment="1">
      <alignment horizontal="center" wrapText="1"/>
    </xf>
    <xf numFmtId="3" fontId="3" fillId="0" borderId="33" xfId="0" applyNumberFormat="1" applyFont="1" applyBorder="1" applyAlignment="1">
      <alignment horizontal="center" wrapText="1"/>
    </xf>
    <xf numFmtId="3" fontId="17" fillId="0" borderId="0" xfId="0" applyNumberFormat="1" applyFont="1" applyAlignment="1">
      <alignment horizontal="center" wrapText="1"/>
    </xf>
    <xf numFmtId="1" fontId="17" fillId="0" borderId="8" xfId="0" applyNumberFormat="1" applyFont="1" applyBorder="1" applyAlignment="1">
      <alignment horizontal="center"/>
    </xf>
    <xf numFmtId="3" fontId="3" fillId="8" borderId="33" xfId="0" applyNumberFormat="1" applyFont="1" applyFill="1" applyBorder="1" applyAlignment="1">
      <alignment horizontal="center" wrapText="1"/>
    </xf>
    <xf numFmtId="1" fontId="3"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2" borderId="0" xfId="0" applyNumberFormat="1" applyFont="1" applyFill="1"/>
    <xf numFmtId="3" fontId="17" fillId="12" borderId="0" xfId="0" applyNumberFormat="1" applyFont="1" applyFill="1" applyAlignment="1">
      <alignment horizontal="center"/>
    </xf>
    <xf numFmtId="0" fontId="17" fillId="0" borderId="0" xfId="0" applyFont="1" applyAlignment="1">
      <alignment horizontal="center" wrapText="1"/>
    </xf>
    <xf numFmtId="0" fontId="21" fillId="0" borderId="1" xfId="0" applyFont="1" applyBorder="1" applyAlignment="1">
      <alignment horizontal="left" indent="2"/>
    </xf>
    <xf numFmtId="0" fontId="3" fillId="0" borderId="8" xfId="0" applyFont="1" applyBorder="1" applyAlignment="1">
      <alignment horizontal="center" wrapText="1"/>
    </xf>
    <xf numFmtId="3" fontId="12" fillId="8" borderId="8"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7" xfId="0" applyFont="1" applyBorder="1" applyAlignment="1">
      <alignment wrapText="1"/>
    </xf>
    <xf numFmtId="0" fontId="3" fillId="0" borderId="8" xfId="0" applyFont="1" applyBorder="1" applyAlignment="1">
      <alignment wrapText="1"/>
    </xf>
    <xf numFmtId="170" fontId="3" fillId="0" borderId="0" xfId="0" applyNumberFormat="1" applyFont="1" applyAlignment="1">
      <alignment horizontal="center" wrapText="1"/>
    </xf>
    <xf numFmtId="0" fontId="17" fillId="0" borderId="0" xfId="0" applyFont="1" applyAlignment="1">
      <alignment wrapText="1"/>
    </xf>
    <xf numFmtId="170" fontId="17" fillId="0" borderId="0" xfId="0" applyNumberFormat="1" applyFont="1" applyAlignment="1">
      <alignment wrapText="1"/>
    </xf>
    <xf numFmtId="0" fontId="12" fillId="0" borderId="33" xfId="0" applyFont="1" applyBorder="1" applyAlignment="1">
      <alignment horizontal="center" vertical="top" wrapText="1"/>
    </xf>
    <xf numFmtId="170" fontId="3" fillId="0" borderId="8" xfId="0" applyNumberFormat="1" applyFont="1" applyBorder="1" applyAlignment="1">
      <alignment horizontal="center" wrapText="1"/>
    </xf>
    <xf numFmtId="1" fontId="12" fillId="0" borderId="0" xfId="0" applyNumberFormat="1" applyFont="1" applyAlignment="1">
      <alignment horizontal="center" wrapText="1"/>
    </xf>
    <xf numFmtId="0" fontId="22" fillId="0" borderId="0" xfId="0" applyFont="1"/>
    <xf numFmtId="1" fontId="3" fillId="0" borderId="33" xfId="0" applyNumberFormat="1" applyFont="1" applyBorder="1" applyAlignment="1">
      <alignment horizontal="center" wrapText="1"/>
    </xf>
    <xf numFmtId="1" fontId="3" fillId="13" borderId="33" xfId="0" applyNumberFormat="1" applyFont="1" applyFill="1" applyBorder="1" applyAlignment="1">
      <alignment horizontal="center" wrapText="1"/>
    </xf>
    <xf numFmtId="0" fontId="17" fillId="0" borderId="7" xfId="0" applyFont="1" applyBorder="1"/>
    <xf numFmtId="0" fontId="17" fillId="0" borderId="8" xfId="0" applyFont="1" applyBorder="1"/>
    <xf numFmtId="3" fontId="1" fillId="8" borderId="0" xfId="0" applyNumberFormat="1" applyFont="1" applyFill="1"/>
    <xf numFmtId="1" fontId="17" fillId="0" borderId="0" xfId="0" applyNumberFormat="1" applyFont="1" applyAlignment="1">
      <alignment horizontal="center"/>
    </xf>
    <xf numFmtId="1" fontId="17" fillId="8" borderId="8" xfId="0" applyNumberFormat="1" applyFont="1" applyFill="1" applyBorder="1" applyAlignment="1">
      <alignment horizontal="center"/>
    </xf>
    <xf numFmtId="0" fontId="21" fillId="0" borderId="1" xfId="0" applyFont="1" applyBorder="1" applyAlignment="1">
      <alignment horizontal="left" indent="5"/>
    </xf>
    <xf numFmtId="0" fontId="3" fillId="0" borderId="1" xfId="0" applyFont="1" applyBorder="1" applyAlignment="1">
      <alignment horizontal="left" vertical="top" wrapText="1" indent="5"/>
    </xf>
    <xf numFmtId="3" fontId="3" fillId="8" borderId="6" xfId="0" applyNumberFormat="1" applyFont="1" applyFill="1" applyBorder="1" applyAlignment="1">
      <alignment horizontal="center" wrapText="1"/>
    </xf>
    <xf numFmtId="168" fontId="3" fillId="13" borderId="0" xfId="0" applyNumberFormat="1" applyFont="1" applyFill="1" applyAlignment="1">
      <alignment horizontal="center" wrapText="1"/>
    </xf>
    <xf numFmtId="0" fontId="3" fillId="0" borderId="40" xfId="0" applyFont="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3" fillId="12" borderId="33" xfId="0" applyNumberFormat="1" applyFont="1" applyFill="1" applyBorder="1" applyAlignment="1">
      <alignment horizontal="center"/>
    </xf>
    <xf numFmtId="3" fontId="3" fillId="0" borderId="3" xfId="0" applyNumberFormat="1" applyFont="1" applyBorder="1" applyAlignment="1">
      <alignment horizontal="right"/>
    </xf>
    <xf numFmtId="0" fontId="3" fillId="0" borderId="1" xfId="0" applyFont="1" applyBorder="1"/>
    <xf numFmtId="168" fontId="17" fillId="0" borderId="0" xfId="0" applyNumberFormat="1" applyFont="1" applyAlignment="1">
      <alignment horizontal="center"/>
    </xf>
    <xf numFmtId="168" fontId="17" fillId="15" borderId="33" xfId="0" applyNumberFormat="1" applyFont="1" applyFill="1" applyBorder="1" applyAlignment="1">
      <alignment horizontal="center"/>
    </xf>
    <xf numFmtId="168" fontId="3" fillId="0" borderId="8" xfId="0" applyNumberFormat="1" applyFont="1" applyBorder="1" applyAlignment="1">
      <alignment horizontal="center"/>
    </xf>
    <xf numFmtId="168" fontId="3" fillId="0" borderId="0" xfId="0" applyNumberFormat="1" applyFont="1" applyAlignment="1">
      <alignment horizontal="center"/>
    </xf>
    <xf numFmtId="0" fontId="3" fillId="8" borderId="6" xfId="0" applyFont="1" applyFill="1" applyBorder="1"/>
    <xf numFmtId="168" fontId="17" fillId="8" borderId="0" xfId="0" applyNumberFormat="1" applyFont="1" applyFill="1" applyAlignment="1">
      <alignment horizontal="center"/>
    </xf>
    <xf numFmtId="168" fontId="3" fillId="13" borderId="0" xfId="0" applyNumberFormat="1" applyFont="1" applyFill="1" applyAlignment="1">
      <alignment horizontal="center"/>
    </xf>
    <xf numFmtId="169" fontId="3" fillId="0" borderId="0" xfId="0" applyNumberFormat="1" applyFont="1" applyAlignment="1">
      <alignment horizontal="center"/>
    </xf>
    <xf numFmtId="0" fontId="3" fillId="13" borderId="6" xfId="0" applyFont="1" applyFill="1" applyBorder="1"/>
    <xf numFmtId="3" fontId="3" fillId="13" borderId="8" xfId="0" applyNumberFormat="1" applyFont="1" applyFill="1" applyBorder="1" applyAlignment="1">
      <alignment horizontal="center"/>
    </xf>
    <xf numFmtId="168" fontId="17" fillId="8" borderId="33" xfId="0" applyNumberFormat="1" applyFont="1" applyFill="1" applyBorder="1" applyAlignment="1">
      <alignment horizontal="center"/>
    </xf>
    <xf numFmtId="168" fontId="3" fillId="13" borderId="6" xfId="0" applyNumberFormat="1" applyFont="1" applyFill="1" applyBorder="1" applyAlignment="1">
      <alignment horizontal="center"/>
    </xf>
    <xf numFmtId="168" fontId="17" fillId="13" borderId="6" xfId="0" applyNumberFormat="1" applyFont="1" applyFill="1" applyBorder="1" applyAlignment="1">
      <alignment horizontal="center"/>
    </xf>
    <xf numFmtId="0" fontId="3" fillId="0" borderId="5" xfId="0" applyFont="1" applyBorder="1"/>
    <xf numFmtId="0" fontId="3" fillId="0" borderId="8" xfId="0" applyFont="1" applyBorder="1" applyAlignment="1">
      <alignment horizontal="center"/>
    </xf>
    <xf numFmtId="0" fontId="3" fillId="11" borderId="33" xfId="0" applyFont="1" applyFill="1" applyBorder="1" applyAlignment="1">
      <alignment horizontal="center"/>
    </xf>
    <xf numFmtId="0" fontId="3" fillId="11" borderId="4" xfId="0" applyFont="1" applyFill="1" applyBorder="1" applyAlignment="1">
      <alignment horizontal="center"/>
    </xf>
    <xf numFmtId="0" fontId="12" fillId="11" borderId="5" xfId="0" applyFont="1" applyFill="1" applyBorder="1"/>
    <xf numFmtId="168" fontId="17" fillId="15" borderId="6" xfId="0" applyNumberFormat="1" applyFont="1" applyFill="1" applyBorder="1" applyAlignment="1">
      <alignment horizontal="center"/>
    </xf>
    <xf numFmtId="0" fontId="1" fillId="15" borderId="0" xfId="0" applyFont="1" applyFill="1"/>
    <xf numFmtId="0" fontId="3" fillId="0" borderId="3" xfId="0" applyFont="1" applyBorder="1" applyAlignment="1">
      <alignment horizontal="center"/>
    </xf>
    <xf numFmtId="0" fontId="3" fillId="0" borderId="2" xfId="0" applyFont="1" applyBorder="1" applyAlignment="1">
      <alignment horizontal="center"/>
    </xf>
    <xf numFmtId="168" fontId="3" fillId="0" borderId="5" xfId="0" applyNumberFormat="1" applyFont="1" applyBorder="1" applyAlignment="1">
      <alignment horizontal="center"/>
    </xf>
    <xf numFmtId="168" fontId="3" fillId="0" borderId="33" xfId="0" applyNumberFormat="1" applyFont="1" applyBorder="1" applyAlignment="1">
      <alignment horizontal="center"/>
    </xf>
    <xf numFmtId="168" fontId="3" fillId="13" borderId="33" xfId="0" applyNumberFormat="1" applyFont="1" applyFill="1" applyBorder="1" applyAlignment="1">
      <alignment horizontal="center"/>
    </xf>
    <xf numFmtId="169" fontId="3" fillId="13" borderId="8" xfId="0" applyNumberFormat="1" applyFont="1" applyFill="1" applyBorder="1" applyAlignment="1">
      <alignment horizontal="center"/>
    </xf>
    <xf numFmtId="168" fontId="17" fillId="0" borderId="5" xfId="0" applyNumberFormat="1" applyFont="1" applyBorder="1" applyAlignment="1">
      <alignment horizontal="center"/>
    </xf>
    <xf numFmtId="168" fontId="17" fillId="0" borderId="33" xfId="0" applyNumberFormat="1" applyFont="1" applyBorder="1" applyAlignment="1">
      <alignment horizontal="center"/>
    </xf>
    <xf numFmtId="168" fontId="17" fillId="13" borderId="33" xfId="0" applyNumberFormat="1" applyFont="1" applyFill="1" applyBorder="1" applyAlignment="1">
      <alignment horizontal="center"/>
    </xf>
    <xf numFmtId="169" fontId="3" fillId="0" borderId="3" xfId="0" applyNumberFormat="1" applyFont="1" applyBorder="1" applyAlignment="1">
      <alignment horizontal="center"/>
    </xf>
    <xf numFmtId="169" fontId="3" fillId="0" borderId="8" xfId="0" applyNumberFormat="1" applyFont="1" applyBorder="1" applyAlignment="1">
      <alignment horizontal="center"/>
    </xf>
    <xf numFmtId="0" fontId="17" fillId="0" borderId="1" xfId="0" applyFont="1" applyBorder="1"/>
    <xf numFmtId="173" fontId="3" fillId="0" borderId="0" xfId="0" applyNumberFormat="1" applyFont="1"/>
    <xf numFmtId="0" fontId="12" fillId="3" borderId="38" xfId="0" applyFont="1" applyFill="1" applyBorder="1"/>
    <xf numFmtId="0" fontId="12" fillId="3" borderId="34" xfId="0" applyFont="1" applyFill="1" applyBorder="1"/>
    <xf numFmtId="0" fontId="12" fillId="3" borderId="16" xfId="0" applyFont="1" applyFill="1" applyBorder="1"/>
    <xf numFmtId="0" fontId="12" fillId="3" borderId="34" xfId="0" applyFont="1" applyFill="1" applyBorder="1" applyAlignment="1">
      <alignment horizontal="center"/>
    </xf>
    <xf numFmtId="0" fontId="12" fillId="3" borderId="16" xfId="0" applyFont="1" applyFill="1" applyBorder="1" applyAlignment="1">
      <alignment horizontal="center"/>
    </xf>
    <xf numFmtId="168" fontId="3" fillId="8" borderId="8" xfId="0" applyNumberFormat="1" applyFont="1" applyFill="1" applyBorder="1" applyAlignment="1">
      <alignment horizontal="center"/>
    </xf>
    <xf numFmtId="168" fontId="17" fillId="8" borderId="6" xfId="0" applyNumberFormat="1" applyFont="1" applyFill="1" applyBorder="1" applyAlignment="1">
      <alignment horizontal="center"/>
    </xf>
    <xf numFmtId="0" fontId="17" fillId="0" borderId="5" xfId="0" applyFont="1" applyBorder="1"/>
    <xf numFmtId="0" fontId="17" fillId="0" borderId="6" xfId="0" applyFont="1" applyBorder="1"/>
    <xf numFmtId="168" fontId="17"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7" xfId="0" applyNumberFormat="1" applyFont="1" applyBorder="1" applyAlignment="1">
      <alignment horizontal="center"/>
    </xf>
    <xf numFmtId="0" fontId="24" fillId="0" borderId="1" xfId="0" applyFont="1" applyBorder="1" applyAlignment="1">
      <alignment horizontal="left" wrapText="1"/>
    </xf>
    <xf numFmtId="169" fontId="3" fillId="0" borderId="7" xfId="0" applyNumberFormat="1" applyFont="1" applyBorder="1" applyAlignment="1">
      <alignment horizontal="center"/>
    </xf>
    <xf numFmtId="0" fontId="12" fillId="0" borderId="0" xfId="0" applyFont="1" applyAlignment="1">
      <alignment vertical="top" wrapText="1"/>
    </xf>
    <xf numFmtId="169" fontId="3" fillId="0" borderId="2" xfId="0" applyNumberFormat="1" applyFont="1" applyBorder="1" applyAlignment="1">
      <alignment horizontal="center"/>
    </xf>
    <xf numFmtId="169" fontId="3" fillId="8" borderId="8" xfId="0" applyNumberFormat="1" applyFont="1" applyFill="1" applyBorder="1" applyAlignment="1">
      <alignment horizontal="center"/>
    </xf>
    <xf numFmtId="168" fontId="17" fillId="13" borderId="0" xfId="0" applyNumberFormat="1" applyFont="1" applyFill="1" applyAlignment="1">
      <alignment horizontal="center"/>
    </xf>
    <xf numFmtId="2" fontId="3" fillId="0" borderId="33" xfId="0" applyNumberFormat="1" applyFont="1" applyBorder="1"/>
    <xf numFmtId="2" fontId="3" fillId="0" borderId="33" xfId="0" applyNumberFormat="1" applyFont="1" applyBorder="1" applyAlignment="1">
      <alignment horizontal="right"/>
    </xf>
    <xf numFmtId="3" fontId="3" fillId="0" borderId="33" xfId="0" applyNumberFormat="1" applyFont="1" applyBorder="1" applyAlignment="1">
      <alignment horizontal="right"/>
    </xf>
    <xf numFmtId="3" fontId="3" fillId="0" borderId="40" xfId="0" applyNumberFormat="1" applyFont="1" applyBorder="1" applyAlignment="1">
      <alignment horizontal="right"/>
    </xf>
    <xf numFmtId="174" fontId="3" fillId="0" borderId="0" xfId="0" applyNumberFormat="1" applyFont="1" applyAlignment="1">
      <alignment horizontal="center" wrapText="1"/>
    </xf>
    <xf numFmtId="0" fontId="17" fillId="0" borderId="1" xfId="0" applyFont="1" applyBorder="1" applyAlignment="1">
      <alignment horizontal="left"/>
    </xf>
    <xf numFmtId="169" fontId="3" fillId="0" borderId="0" xfId="0" applyNumberFormat="1" applyFont="1"/>
    <xf numFmtId="168" fontId="3" fillId="16" borderId="0" xfId="0" applyNumberFormat="1" applyFont="1" applyFill="1" applyAlignment="1">
      <alignment horizontal="center" wrapText="1"/>
    </xf>
    <xf numFmtId="169" fontId="3" fillId="15" borderId="8"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6" xfId="0" applyNumberFormat="1" applyFont="1" applyBorder="1"/>
    <xf numFmtId="2" fontId="3" fillId="0" borderId="6" xfId="0" applyNumberFormat="1" applyFont="1" applyBorder="1" applyAlignment="1">
      <alignment horizontal="right"/>
    </xf>
    <xf numFmtId="0" fontId="12" fillId="0" borderId="14" xfId="0" applyFont="1" applyBorder="1"/>
    <xf numFmtId="0" fontId="12" fillId="0" borderId="13" xfId="0" applyFont="1" applyBorder="1"/>
    <xf numFmtId="0" fontId="3" fillId="0" borderId="13" xfId="0" applyFont="1" applyBorder="1" applyAlignment="1">
      <alignment horizontal="right"/>
    </xf>
    <xf numFmtId="0" fontId="3" fillId="0" borderId="12" xfId="0" applyFont="1" applyBorder="1"/>
    <xf numFmtId="168" fontId="3" fillId="17" borderId="0" xfId="0" applyNumberFormat="1" applyFont="1" applyFill="1" applyAlignment="1">
      <alignment horizontal="center"/>
    </xf>
    <xf numFmtId="168" fontId="3" fillId="17" borderId="0" xfId="0" applyNumberFormat="1" applyFont="1" applyFill="1" applyAlignment="1">
      <alignment horizontal="center" wrapText="1"/>
    </xf>
    <xf numFmtId="169" fontId="3" fillId="9" borderId="8" xfId="0" applyNumberFormat="1" applyFont="1" applyFill="1" applyBorder="1" applyAlignment="1">
      <alignment horizontal="center"/>
    </xf>
    <xf numFmtId="0" fontId="1" fillId="17" borderId="0" xfId="0" applyFont="1" applyFill="1"/>
    <xf numFmtId="0" fontId="3" fillId="0" borderId="0" xfId="0" applyFont="1" applyAlignment="1">
      <alignment horizontal="left" indent="4"/>
    </xf>
    <xf numFmtId="169" fontId="3" fillId="0" borderId="8" xfId="0" applyNumberFormat="1" applyFont="1" applyBorder="1"/>
    <xf numFmtId="0" fontId="3" fillId="0" borderId="7" xfId="0" applyFont="1" applyBorder="1" applyAlignment="1">
      <alignment horizontal="left" indent="4"/>
    </xf>
    <xf numFmtId="3" fontId="26" fillId="0" borderId="0" xfId="0" applyNumberFormat="1" applyFont="1"/>
    <xf numFmtId="0" fontId="3" fillId="0" borderId="3" xfId="0" applyFont="1" applyBorder="1"/>
    <xf numFmtId="175" fontId="3" fillId="0" borderId="0" xfId="0" applyNumberFormat="1" applyFont="1"/>
    <xf numFmtId="0" fontId="3" fillId="10" borderId="5" xfId="0" applyFont="1" applyFill="1" applyBorder="1"/>
    <xf numFmtId="0" fontId="3" fillId="10" borderId="6" xfId="0" applyFont="1" applyFill="1" applyBorder="1"/>
    <xf numFmtId="0" fontId="3" fillId="10" borderId="4" xfId="0" applyFont="1" applyFill="1" applyBorder="1"/>
    <xf numFmtId="0" fontId="3" fillId="17" borderId="1" xfId="0" applyFont="1" applyFill="1" applyBorder="1" applyAlignment="1">
      <alignment horizontal="left" vertical="top" wrapText="1" indent="3"/>
    </xf>
    <xf numFmtId="168" fontId="3" fillId="17" borderId="1" xfId="0" applyNumberFormat="1" applyFont="1" applyFill="1" applyBorder="1" applyAlignment="1">
      <alignment horizontal="center"/>
    </xf>
    <xf numFmtId="0" fontId="3" fillId="0" borderId="13" xfId="0" applyFont="1" applyBorder="1"/>
    <xf numFmtId="3" fontId="3" fillId="0" borderId="6" xfId="0" applyNumberFormat="1" applyFont="1" applyBorder="1" applyAlignment="1">
      <alignment horizontal="right"/>
    </xf>
    <xf numFmtId="0" fontId="14" fillId="0" borderId="0" xfId="0" applyFont="1"/>
    <xf numFmtId="0" fontId="1" fillId="0" borderId="0" xfId="0" applyFont="1" applyAlignment="1">
      <alignment horizontal="center"/>
    </xf>
    <xf numFmtId="0" fontId="17" fillId="0" borderId="0" xfId="0" applyFont="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7" borderId="33"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3" fillId="17" borderId="6" xfId="0" applyNumberFormat="1" applyFont="1" applyFill="1" applyBorder="1"/>
    <xf numFmtId="10" fontId="3" fillId="17" borderId="5" xfId="0" applyNumberFormat="1" applyFont="1" applyFill="1" applyBorder="1"/>
    <xf numFmtId="10" fontId="3" fillId="17" borderId="6" xfId="0" applyNumberFormat="1" applyFont="1" applyFill="1" applyBorder="1" applyAlignment="1">
      <alignment horizontal="center"/>
    </xf>
    <xf numFmtId="10" fontId="1" fillId="17" borderId="6" xfId="0" applyNumberFormat="1" applyFont="1" applyFill="1" applyBorder="1" applyAlignment="1">
      <alignment horizontal="center"/>
    </xf>
    <xf numFmtId="0" fontId="17" fillId="17" borderId="0" xfId="0" applyFont="1" applyFill="1"/>
    <xf numFmtId="0" fontId="17" fillId="17" borderId="1" xfId="0" applyFont="1" applyFill="1" applyBorder="1"/>
    <xf numFmtId="0" fontId="17" fillId="17" borderId="0" xfId="0" applyFont="1" applyFill="1" applyAlignment="1">
      <alignment horizontal="center"/>
    </xf>
    <xf numFmtId="0" fontId="17" fillId="17" borderId="8" xfId="0" applyFont="1" applyFill="1" applyBorder="1"/>
    <xf numFmtId="0" fontId="17" fillId="17" borderId="7" xfId="0" applyFont="1" applyFill="1" applyBorder="1"/>
    <xf numFmtId="0" fontId="17" fillId="17" borderId="8" xfId="0" applyFont="1" applyFill="1" applyBorder="1" applyAlignment="1">
      <alignment horizontal="center"/>
    </xf>
    <xf numFmtId="0" fontId="1" fillId="17" borderId="8" xfId="0" applyFont="1" applyFill="1" applyBorder="1" applyAlignment="1">
      <alignment horizontal="center"/>
    </xf>
    <xf numFmtId="1" fontId="1" fillId="17" borderId="8" xfId="0" applyNumberFormat="1" applyFont="1" applyFill="1" applyBorder="1" applyAlignment="1">
      <alignment horizontal="center"/>
    </xf>
    <xf numFmtId="0" fontId="1" fillId="0" borderId="8" xfId="0" applyFont="1" applyBorder="1" applyAlignment="1">
      <alignment horizontal="center"/>
    </xf>
    <xf numFmtId="0" fontId="17" fillId="0" borderId="8" xfId="0"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 fontId="1" fillId="0" borderId="8" xfId="0" applyNumberFormat="1" applyFont="1" applyBorder="1" applyAlignment="1">
      <alignment horizontal="center"/>
    </xf>
    <xf numFmtId="0" fontId="12" fillId="0" borderId="5" xfId="0" applyFont="1" applyBorder="1" applyAlignment="1">
      <alignment horizontal="center"/>
    </xf>
    <xf numFmtId="0" fontId="12" fillId="0" borderId="6" xfId="0" applyFont="1" applyBorder="1" applyAlignment="1">
      <alignment horizontal="center"/>
    </xf>
    <xf numFmtId="0" fontId="3" fillId="0" borderId="8" xfId="0" applyFont="1" applyBorder="1" applyAlignment="1">
      <alignment horizontal="left" vertical="top" wrapText="1"/>
    </xf>
    <xf numFmtId="0" fontId="12" fillId="0" borderId="7"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3" fillId="0" borderId="18" xfId="0" applyNumberFormat="1" applyFont="1" applyBorder="1"/>
    <xf numFmtId="1" fontId="3" fillId="0" borderId="15" xfId="0" applyNumberFormat="1" applyFont="1" applyBorder="1"/>
    <xf numFmtId="167" fontId="3" fillId="0" borderId="15" xfId="0" applyNumberFormat="1" applyFont="1" applyBorder="1"/>
    <xf numFmtId="0" fontId="27" fillId="0" borderId="1" xfId="0" applyFont="1" applyBorder="1" applyAlignment="1">
      <alignment horizontal="left" wrapText="1" indent="1"/>
    </xf>
    <xf numFmtId="0" fontId="27" fillId="0" borderId="1" xfId="0" applyFont="1" applyBorder="1" applyAlignment="1">
      <alignment horizontal="left" indent="1"/>
    </xf>
    <xf numFmtId="0" fontId="3" fillId="0" borderId="1" xfId="0" applyFont="1" applyBorder="1" applyAlignment="1">
      <alignment horizontal="left" indent="2"/>
    </xf>
    <xf numFmtId="0" fontId="28" fillId="0" borderId="1" xfId="0" applyFont="1" applyBorder="1" applyAlignment="1">
      <alignment horizontal="left" indent="1"/>
    </xf>
    <xf numFmtId="0" fontId="3" fillId="18" borderId="1" xfId="0" applyFont="1" applyFill="1" applyBorder="1" applyAlignment="1">
      <alignment horizontal="left"/>
    </xf>
    <xf numFmtId="0" fontId="3" fillId="18" borderId="5" xfId="0" applyFont="1" applyFill="1" applyBorder="1"/>
    <xf numFmtId="168" fontId="3" fillId="8" borderId="0" xfId="0" applyNumberFormat="1" applyFont="1" applyFill="1" applyAlignment="1">
      <alignment horizontal="center"/>
    </xf>
    <xf numFmtId="0" fontId="3" fillId="7" borderId="0" xfId="0" applyFont="1" applyFill="1" applyAlignment="1">
      <alignment horizontal="left" wrapText="1" indent="1"/>
    </xf>
    <xf numFmtId="168" fontId="3" fillId="7" borderId="0" xfId="0" applyNumberFormat="1" applyFont="1" applyFill="1" applyAlignment="1">
      <alignment horizontal="center"/>
    </xf>
    <xf numFmtId="168" fontId="12" fillId="8" borderId="0" xfId="0" applyNumberFormat="1" applyFont="1" applyFill="1" applyAlignment="1">
      <alignment horizontal="center"/>
    </xf>
    <xf numFmtId="168" fontId="17" fillId="7" borderId="0" xfId="0" applyNumberFormat="1" applyFont="1" applyFill="1" applyAlignment="1">
      <alignment horizontal="center"/>
    </xf>
    <xf numFmtId="0" fontId="3" fillId="8" borderId="0" xfId="0" applyFont="1" applyFill="1"/>
    <xf numFmtId="0" fontId="3" fillId="0" borderId="0" xfId="0" applyFont="1" applyAlignment="1">
      <alignment horizontal="left" wrapText="1" indent="1"/>
    </xf>
    <xf numFmtId="0" fontId="3" fillId="0" borderId="0" xfId="0" applyFont="1" applyAlignment="1">
      <alignment horizontal="right"/>
    </xf>
    <xf numFmtId="1" fontId="3" fillId="13" borderId="0" xfId="0" applyNumberFormat="1" applyFont="1" applyFill="1"/>
    <xf numFmtId="1" fontId="3" fillId="3" borderId="0" xfId="0" applyNumberFormat="1" applyFont="1" applyFill="1"/>
    <xf numFmtId="167" fontId="3" fillId="13" borderId="15" xfId="0" applyNumberFormat="1" applyFont="1" applyFill="1" applyBorder="1"/>
    <xf numFmtId="167" fontId="3" fillId="0" borderId="0" xfId="0" applyNumberFormat="1" applyFont="1"/>
    <xf numFmtId="168" fontId="3" fillId="8" borderId="33" xfId="0" applyNumberFormat="1" applyFont="1" applyFill="1" applyBorder="1" applyAlignment="1">
      <alignment horizontal="center"/>
    </xf>
    <xf numFmtId="1" fontId="3" fillId="13" borderId="6" xfId="0" applyNumberFormat="1" applyFont="1" applyFill="1" applyBorder="1" applyAlignment="1">
      <alignment horizontal="center"/>
    </xf>
    <xf numFmtId="168" fontId="3" fillId="8" borderId="2" xfId="0" applyNumberFormat="1" applyFont="1" applyFill="1" applyBorder="1" applyAlignment="1">
      <alignment horizontal="center"/>
    </xf>
    <xf numFmtId="168" fontId="17" fillId="8" borderId="3" xfId="0" applyNumberFormat="1" applyFont="1" applyFill="1" applyBorder="1" applyAlignment="1">
      <alignment horizontal="center"/>
    </xf>
    <xf numFmtId="0" fontId="12" fillId="13" borderId="5" xfId="0" applyFont="1" applyFill="1" applyBorder="1" applyAlignment="1">
      <alignment horizontal="centerContinuous" vertical="center"/>
    </xf>
    <xf numFmtId="0" fontId="12" fillId="13" borderId="4"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17" fillId="0" borderId="8" xfId="0" applyNumberFormat="1" applyFont="1" applyBorder="1" applyAlignment="1">
      <alignment horizontal="center"/>
    </xf>
    <xf numFmtId="1" fontId="3" fillId="8" borderId="6" xfId="0" applyNumberFormat="1" applyFont="1" applyFill="1" applyBorder="1"/>
    <xf numFmtId="0" fontId="3" fillId="0" borderId="19" xfId="0" applyFont="1" applyBorder="1"/>
    <xf numFmtId="0" fontId="3" fillId="0" borderId="18" xfId="0" applyFont="1" applyBorder="1"/>
    <xf numFmtId="1" fontId="3" fillId="8" borderId="18" xfId="0" applyNumberFormat="1" applyFont="1" applyFill="1" applyBorder="1"/>
    <xf numFmtId="0" fontId="3" fillId="0" borderId="20" xfId="0" applyFont="1" applyBorder="1" applyAlignment="1">
      <alignment horizontal="left" wrapText="1" indent="1"/>
    </xf>
    <xf numFmtId="0" fontId="3" fillId="0" borderId="20" xfId="0" applyFont="1" applyBorder="1" applyAlignment="1">
      <alignment horizontal="left" wrapText="1" indent="2"/>
    </xf>
    <xf numFmtId="0" fontId="3" fillId="0" borderId="21" xfId="0" applyFont="1" applyBorder="1" applyAlignment="1">
      <alignment horizontal="left" wrapText="1" indent="2"/>
    </xf>
    <xf numFmtId="0" fontId="3" fillId="0" borderId="15" xfId="0" applyFont="1" applyBorder="1"/>
    <xf numFmtId="1" fontId="3" fillId="0" borderId="41" xfId="0" applyNumberFormat="1" applyFont="1" applyBorder="1"/>
    <xf numFmtId="1" fontId="3" fillId="3" borderId="18" xfId="0" applyNumberFormat="1" applyFont="1" applyFill="1" applyBorder="1"/>
    <xf numFmtId="1" fontId="3" fillId="19" borderId="18" xfId="0" applyNumberFormat="1" applyFont="1" applyFill="1" applyBorder="1"/>
    <xf numFmtId="1" fontId="3" fillId="19" borderId="0" xfId="0" applyNumberFormat="1" applyFont="1" applyFill="1"/>
    <xf numFmtId="1" fontId="3" fillId="0" borderId="42" xfId="0" applyNumberFormat="1" applyFont="1" applyBorder="1"/>
    <xf numFmtId="1" fontId="3" fillId="3" borderId="15" xfId="0" applyNumberFormat="1" applyFont="1" applyFill="1" applyBorder="1"/>
    <xf numFmtId="1" fontId="3" fillId="19" borderId="15" xfId="0" applyNumberFormat="1" applyFont="1" applyFill="1" applyBorder="1"/>
    <xf numFmtId="1" fontId="3" fillId="8" borderId="15" xfId="0" applyNumberFormat="1" applyFont="1" applyFill="1" applyBorder="1"/>
    <xf numFmtId="1" fontId="3" fillId="13" borderId="15" xfId="0" applyNumberFormat="1" applyFont="1" applyFill="1" applyBorder="1"/>
    <xf numFmtId="167" fontId="3" fillId="8" borderId="15" xfId="0" applyNumberFormat="1" applyFont="1" applyFill="1" applyBorder="1"/>
    <xf numFmtId="1" fontId="3" fillId="0" borderId="1" xfId="0" applyNumberFormat="1" applyFont="1" applyBorder="1"/>
    <xf numFmtId="0" fontId="3" fillId="0" borderId="7" xfId="0" applyFont="1" applyBorder="1" applyAlignment="1">
      <alignment horizontal="right"/>
    </xf>
    <xf numFmtId="0" fontId="3" fillId="0" borderId="33" xfId="0" applyFont="1" applyBorder="1"/>
    <xf numFmtId="1" fontId="3" fillId="0" borderId="33" xfId="0" applyNumberFormat="1" applyFont="1" applyBorder="1"/>
    <xf numFmtId="168" fontId="3" fillId="0" borderId="4" xfId="0" applyNumberFormat="1" applyFont="1" applyBorder="1"/>
    <xf numFmtId="0" fontId="3" fillId="0" borderId="7" xfId="0" applyFont="1" applyBorder="1" applyAlignment="1">
      <alignment horizontal="center"/>
    </xf>
    <xf numFmtId="3" fontId="3" fillId="0" borderId="0" xfId="0" applyNumberFormat="1" applyFont="1"/>
    <xf numFmtId="168" fontId="3" fillId="8" borderId="3" xfId="0" applyNumberFormat="1" applyFont="1" applyFill="1" applyBorder="1" applyAlignment="1">
      <alignment horizontal="center"/>
    </xf>
    <xf numFmtId="0" fontId="12" fillId="0" borderId="33" xfId="0" applyFont="1" applyBorder="1" applyAlignment="1">
      <alignment horizontal="center"/>
    </xf>
    <xf numFmtId="0" fontId="17" fillId="0" borderId="1" xfId="0" applyFont="1" applyBorder="1" applyAlignment="1">
      <alignment horizontal="center"/>
    </xf>
    <xf numFmtId="168" fontId="3" fillId="8" borderId="6" xfId="0" applyNumberFormat="1" applyFont="1" applyFill="1" applyBorder="1" applyAlignment="1">
      <alignment horizontal="center"/>
    </xf>
    <xf numFmtId="3" fontId="3" fillId="0" borderId="6" xfId="0" applyNumberFormat="1" applyFont="1" applyBorder="1"/>
    <xf numFmtId="3" fontId="3" fillId="0" borderId="4" xfId="0" applyNumberFormat="1" applyFont="1" applyBorder="1"/>
    <xf numFmtId="3" fontId="3" fillId="0" borderId="1" xfId="0" applyNumberFormat="1"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6" xfId="0" applyFont="1" applyBorder="1"/>
    <xf numFmtId="169" fontId="3" fillId="12" borderId="8" xfId="0" applyNumberFormat="1" applyFont="1" applyFill="1" applyBorder="1"/>
    <xf numFmtId="4" fontId="3" fillId="0" borderId="0" xfId="0" applyNumberFormat="1" applyFont="1"/>
    <xf numFmtId="0" fontId="3" fillId="8" borderId="3" xfId="0" applyFont="1" applyFill="1" applyBorder="1"/>
    <xf numFmtId="3" fontId="3" fillId="0" borderId="3" xfId="0" applyNumberFormat="1" applyFont="1" applyBorder="1"/>
    <xf numFmtId="169" fontId="3" fillId="12" borderId="2" xfId="0" applyNumberFormat="1" applyFont="1" applyFill="1" applyBorder="1"/>
    <xf numFmtId="3" fontId="3" fillId="0" borderId="5" xfId="0" applyNumberFormat="1" applyFont="1" applyBorder="1"/>
    <xf numFmtId="1" fontId="3" fillId="8" borderId="33" xfId="0" applyNumberFormat="1" applyFont="1" applyFill="1" applyBorder="1"/>
    <xf numFmtId="168" fontId="3" fillId="12" borderId="0" xfId="0" applyNumberFormat="1" applyFont="1" applyFill="1" applyAlignment="1">
      <alignment horizontal="center"/>
    </xf>
    <xf numFmtId="168" fontId="3" fillId="20" borderId="0" xfId="0" applyNumberFormat="1" applyFont="1" applyFill="1" applyAlignment="1">
      <alignment horizontal="center"/>
    </xf>
    <xf numFmtId="168" fontId="17" fillId="21" borderId="0" xfId="0" applyNumberFormat="1" applyFont="1" applyFill="1" applyAlignment="1">
      <alignment horizontal="center"/>
    </xf>
    <xf numFmtId="0" fontId="3" fillId="18" borderId="1" xfId="0" applyFont="1" applyFill="1" applyBorder="1" applyAlignment="1">
      <alignment horizontal="left" wrapText="1"/>
    </xf>
    <xf numFmtId="0" fontId="3" fillId="0" borderId="43" xfId="0" applyFont="1" applyBorder="1" applyAlignment="1">
      <alignment horizontal="left" indent="1"/>
    </xf>
    <xf numFmtId="0" fontId="12" fillId="0" borderId="43" xfId="0" applyFont="1" applyBorder="1" applyAlignment="1">
      <alignment horizontal="left"/>
    </xf>
    <xf numFmtId="168" fontId="12" fillId="8" borderId="3"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3" xfId="0" applyFont="1" applyBorder="1" applyAlignment="1">
      <alignment horizontal="left" indent="1"/>
    </xf>
    <xf numFmtId="0" fontId="1" fillId="0" borderId="7" xfId="0" applyFont="1" applyBorder="1" applyAlignment="1">
      <alignment horizontal="left"/>
    </xf>
    <xf numFmtId="0" fontId="1" fillId="0" borderId="5"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3" fontId="3" fillId="0" borderId="40" xfId="0" applyNumberFormat="1" applyFont="1" applyBorder="1" applyAlignment="1">
      <alignment horizontal="center"/>
    </xf>
    <xf numFmtId="0" fontId="3" fillId="0" borderId="40" xfId="0" applyFont="1" applyBorder="1"/>
    <xf numFmtId="9" fontId="3" fillId="0" borderId="40" xfId="0" applyNumberFormat="1" applyFont="1" applyBorder="1"/>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176" fontId="29" fillId="14" borderId="4" xfId="0" applyNumberFormat="1" applyFont="1" applyFill="1" applyBorder="1" applyAlignment="1">
      <alignment horizontal="center"/>
    </xf>
    <xf numFmtId="176" fontId="29" fillId="14" borderId="34" xfId="0" applyNumberFormat="1" applyFont="1" applyFill="1" applyBorder="1" applyAlignment="1">
      <alignment horizontal="center"/>
    </xf>
    <xf numFmtId="176" fontId="29" fillId="14" borderId="16" xfId="0" applyNumberFormat="1" applyFont="1" applyFill="1" applyBorder="1" applyAlignment="1">
      <alignment horizontal="center"/>
    </xf>
    <xf numFmtId="176" fontId="21" fillId="0" borderId="0" xfId="0" applyNumberFormat="1" applyFont="1" applyAlignment="1">
      <alignment horizontal="left"/>
    </xf>
    <xf numFmtId="0" fontId="21" fillId="0" borderId="1" xfId="0" applyFont="1" applyBorder="1" applyAlignment="1">
      <alignment horizontal="left" indent="1"/>
    </xf>
    <xf numFmtId="0" fontId="21" fillId="0" borderId="7"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8"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7" fillId="0" borderId="1" xfId="0" applyNumberFormat="1" applyFont="1" applyBorder="1" applyAlignment="1">
      <alignment horizontal="center" vertical="top" wrapText="1"/>
    </xf>
    <xf numFmtId="168" fontId="17" fillId="0" borderId="7" xfId="0" applyNumberFormat="1" applyFont="1" applyBorder="1" applyAlignment="1">
      <alignment horizontal="center" vertical="top" wrapText="1"/>
    </xf>
    <xf numFmtId="0" fontId="12" fillId="0" borderId="39"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6" fontId="21" fillId="0" borderId="2" xfId="0" applyNumberFormat="1" applyFont="1" applyBorder="1" applyAlignment="1">
      <alignment horizontal="center"/>
    </xf>
    <xf numFmtId="10" fontId="17" fillId="0" borderId="0" xfId="0" applyNumberFormat="1" applyFont="1" applyAlignment="1">
      <alignment horizontal="center" vertical="top" wrapText="1"/>
    </xf>
    <xf numFmtId="0" fontId="1" fillId="17" borderId="1" xfId="0" applyFont="1" applyFill="1" applyBorder="1"/>
    <xf numFmtId="0" fontId="1" fillId="17" borderId="7" xfId="0" applyFont="1" applyFill="1" applyBorder="1"/>
    <xf numFmtId="167" fontId="3" fillId="0" borderId="3" xfId="0" applyNumberFormat="1" applyFont="1" applyBorder="1" applyAlignment="1">
      <alignment horizontal="center"/>
    </xf>
    <xf numFmtId="0" fontId="29" fillId="0" borderId="5" xfId="0" applyFont="1" applyBorder="1" applyAlignment="1">
      <alignment horizontal="left"/>
    </xf>
    <xf numFmtId="1" fontId="3" fillId="8" borderId="15" xfId="0" applyNumberFormat="1" applyFont="1" applyFill="1" applyBorder="1" applyAlignment="1">
      <alignment horizontal="center" vertical="top" wrapText="1"/>
    </xf>
    <xf numFmtId="168" fontId="3" fillId="0" borderId="5" xfId="0" applyNumberFormat="1" applyFont="1" applyBorder="1" applyAlignment="1">
      <alignment horizontal="right" vertical="top" wrapText="1"/>
    </xf>
    <xf numFmtId="168" fontId="3" fillId="0" borderId="6" xfId="0" applyNumberFormat="1" applyFont="1" applyBorder="1" applyAlignment="1">
      <alignment horizontal="right" vertical="top" wrapText="1"/>
    </xf>
    <xf numFmtId="168" fontId="3" fillId="8" borderId="6" xfId="0" applyNumberFormat="1" applyFont="1" applyFill="1" applyBorder="1" applyAlignment="1">
      <alignment horizontal="right" vertical="top" wrapText="1"/>
    </xf>
    <xf numFmtId="168" fontId="3" fillId="0" borderId="15" xfId="0" applyNumberFormat="1" applyFont="1" applyBorder="1" applyAlignment="1">
      <alignment horizontal="center" vertical="top" wrapText="1"/>
    </xf>
    <xf numFmtId="168" fontId="3" fillId="0" borderId="42" xfId="0" applyNumberFormat="1" applyFont="1" applyBorder="1" applyAlignment="1">
      <alignment horizontal="center" vertical="top" wrapText="1"/>
    </xf>
    <xf numFmtId="0" fontId="20" fillId="0" borderId="0" xfId="0" applyFont="1" applyAlignment="1">
      <alignment horizontal="center" vertical="top" wrapText="1"/>
    </xf>
    <xf numFmtId="0" fontId="12" fillId="0" borderId="5" xfId="0" applyFont="1" applyBorder="1" applyAlignment="1">
      <alignment horizontal="left" vertical="top" wrapText="1"/>
    </xf>
    <xf numFmtId="168" fontId="17" fillId="0" borderId="8" xfId="0" applyNumberFormat="1" applyFont="1" applyBorder="1" applyAlignment="1">
      <alignment horizontal="center" vertical="top" wrapText="1"/>
    </xf>
    <xf numFmtId="168" fontId="30" fillId="8" borderId="8" xfId="0" applyNumberFormat="1" applyFont="1" applyFill="1" applyBorder="1" applyAlignment="1">
      <alignment horizontal="center"/>
    </xf>
    <xf numFmtId="168" fontId="17" fillId="23" borderId="2" xfId="0" applyNumberFormat="1" applyFont="1" applyFill="1" applyBorder="1" applyAlignment="1">
      <alignment horizontal="center" vertical="top" wrapText="1"/>
    </xf>
    <xf numFmtId="1" fontId="3" fillId="0" borderId="6" xfId="0" applyNumberFormat="1" applyFont="1" applyBorder="1" applyAlignment="1">
      <alignment horizontal="center"/>
    </xf>
    <xf numFmtId="167" fontId="3" fillId="13" borderId="2" xfId="0" applyNumberFormat="1" applyFont="1" applyFill="1" applyBorder="1" applyAlignment="1">
      <alignment horizontal="center"/>
    </xf>
    <xf numFmtId="0" fontId="3" fillId="17" borderId="1" xfId="0" applyFont="1" applyFill="1" applyBorder="1" applyAlignment="1">
      <alignment horizontal="left" indent="2"/>
    </xf>
    <xf numFmtId="0" fontId="1" fillId="17" borderId="3" xfId="0" applyFont="1" applyFill="1" applyBorder="1"/>
    <xf numFmtId="167" fontId="3" fillId="17" borderId="0" xfId="0" applyNumberFormat="1" applyFont="1" applyFill="1" applyAlignment="1">
      <alignment horizontal="center"/>
    </xf>
    <xf numFmtId="0" fontId="3" fillId="17" borderId="0" xfId="0" applyFont="1" applyFill="1" applyAlignment="1">
      <alignment horizontal="center"/>
    </xf>
    <xf numFmtId="0" fontId="3" fillId="17" borderId="1" xfId="0" applyFont="1" applyFill="1" applyBorder="1" applyAlignment="1">
      <alignment horizontal="left" indent="4"/>
    </xf>
    <xf numFmtId="0" fontId="3" fillId="17" borderId="3" xfId="0" applyFont="1" applyFill="1" applyBorder="1"/>
    <xf numFmtId="0" fontId="3" fillId="17" borderId="7" xfId="0" applyFont="1" applyFill="1" applyBorder="1" applyAlignment="1">
      <alignment horizontal="left" indent="2"/>
    </xf>
    <xf numFmtId="0" fontId="3" fillId="17" borderId="2" xfId="0" applyFont="1" applyFill="1" applyBorder="1"/>
    <xf numFmtId="167" fontId="3" fillId="17" borderId="8" xfId="0" applyNumberFormat="1" applyFont="1" applyFill="1" applyBorder="1" applyAlignment="1">
      <alignment horizontal="center"/>
    </xf>
    <xf numFmtId="0" fontId="3" fillId="17" borderId="8" xfId="0" applyFont="1" applyFill="1" applyBorder="1" applyAlignment="1">
      <alignment horizontal="center"/>
    </xf>
    <xf numFmtId="0" fontId="3" fillId="17" borderId="5" xfId="0" applyFont="1" applyFill="1" applyBorder="1" applyAlignment="1">
      <alignment horizontal="left" indent="2"/>
    </xf>
    <xf numFmtId="169" fontId="3" fillId="17" borderId="6" xfId="0" applyNumberFormat="1" applyFont="1" applyFill="1" applyBorder="1"/>
    <xf numFmtId="1" fontId="3" fillId="17" borderId="5" xfId="0" applyNumberFormat="1" applyFont="1" applyFill="1" applyBorder="1" applyAlignment="1">
      <alignment horizontal="center"/>
    </xf>
    <xf numFmtId="1" fontId="3" fillId="17" borderId="33" xfId="0" applyNumberFormat="1" applyFont="1" applyFill="1" applyBorder="1" applyAlignment="1">
      <alignment horizontal="center"/>
    </xf>
    <xf numFmtId="1" fontId="3" fillId="17" borderId="4" xfId="0" applyNumberFormat="1" applyFont="1" applyFill="1" applyBorder="1" applyAlignment="1">
      <alignment horizontal="center"/>
    </xf>
    <xf numFmtId="169" fontId="3" fillId="17" borderId="0" xfId="0" applyNumberFormat="1" applyFont="1" applyFill="1"/>
    <xf numFmtId="1" fontId="3" fillId="17" borderId="1" xfId="0" applyNumberFormat="1" applyFont="1" applyFill="1" applyBorder="1" applyAlignment="1">
      <alignment horizontal="center"/>
    </xf>
    <xf numFmtId="1" fontId="3" fillId="17" borderId="0" xfId="0" applyNumberFormat="1" applyFont="1" applyFill="1" applyAlignment="1">
      <alignment horizontal="center"/>
    </xf>
    <xf numFmtId="1" fontId="3" fillId="17" borderId="3" xfId="0" applyNumberFormat="1" applyFont="1" applyFill="1" applyBorder="1" applyAlignment="1">
      <alignment horizontal="center"/>
    </xf>
    <xf numFmtId="0" fontId="3" fillId="17" borderId="1" xfId="0" applyFont="1" applyFill="1" applyBorder="1" applyAlignment="1">
      <alignment horizontal="center" wrapText="1"/>
    </xf>
    <xf numFmtId="169" fontId="3" fillId="17" borderId="0" xfId="0" applyNumberFormat="1" applyFont="1" applyFill="1" applyAlignment="1">
      <alignment horizontal="center"/>
    </xf>
    <xf numFmtId="0" fontId="3" fillId="17" borderId="1" xfId="0" applyFont="1" applyFill="1" applyBorder="1" applyAlignment="1">
      <alignment horizontal="center"/>
    </xf>
    <xf numFmtId="169" fontId="3" fillId="17" borderId="1" xfId="0" applyNumberFormat="1" applyFont="1" applyFill="1" applyBorder="1" applyAlignment="1">
      <alignment horizontal="center"/>
    </xf>
    <xf numFmtId="0" fontId="3" fillId="17" borderId="7" xfId="0" applyFont="1" applyFill="1" applyBorder="1" applyAlignment="1">
      <alignment horizontal="center"/>
    </xf>
    <xf numFmtId="169" fontId="3" fillId="17" borderId="8" xfId="0" applyNumberFormat="1" applyFont="1" applyFill="1" applyBorder="1" applyAlignment="1">
      <alignment horizontal="center"/>
    </xf>
    <xf numFmtId="169" fontId="3" fillId="17" borderId="7" xfId="0" applyNumberFormat="1" applyFont="1" applyFill="1" applyBorder="1" applyAlignment="1">
      <alignment horizontal="center"/>
    </xf>
    <xf numFmtId="1" fontId="3" fillId="17" borderId="8" xfId="0" applyNumberFormat="1" applyFont="1" applyFill="1" applyBorder="1" applyAlignment="1">
      <alignment horizontal="center"/>
    </xf>
    <xf numFmtId="1" fontId="3" fillId="17" borderId="2" xfId="0" applyNumberFormat="1" applyFont="1" applyFill="1" applyBorder="1" applyAlignment="1">
      <alignment horizontal="center"/>
    </xf>
    <xf numFmtId="0" fontId="1" fillId="17" borderId="5" xfId="0" applyFont="1" applyFill="1" applyBorder="1"/>
    <xf numFmtId="167" fontId="3" fillId="17" borderId="33" xfId="0" applyNumberFormat="1" applyFont="1" applyFill="1" applyBorder="1" applyAlignment="1">
      <alignment horizontal="center"/>
    </xf>
    <xf numFmtId="167" fontId="3" fillId="17" borderId="4" xfId="0" applyNumberFormat="1" applyFont="1" applyFill="1" applyBorder="1" applyAlignment="1">
      <alignment horizontal="center"/>
    </xf>
    <xf numFmtId="167" fontId="3" fillId="17" borderId="3" xfId="0" applyNumberFormat="1" applyFont="1" applyFill="1" applyBorder="1" applyAlignment="1">
      <alignment horizontal="center"/>
    </xf>
    <xf numFmtId="167" fontId="3" fillId="17" borderId="2" xfId="0" applyNumberFormat="1" applyFont="1" applyFill="1" applyBorder="1" applyAlignment="1">
      <alignment horizontal="center"/>
    </xf>
    <xf numFmtId="0" fontId="3" fillId="8" borderId="13" xfId="0" applyFont="1" applyFill="1" applyBorder="1" applyAlignment="1">
      <alignment horizontal="center"/>
    </xf>
    <xf numFmtId="0" fontId="12" fillId="0" borderId="5" xfId="0" applyFont="1" applyBorder="1"/>
    <xf numFmtId="0" fontId="29" fillId="0" borderId="5" xfId="0" applyFont="1" applyBorder="1" applyAlignment="1">
      <alignment wrapText="1"/>
    </xf>
    <xf numFmtId="165" fontId="4" fillId="0" borderId="23" xfId="0" applyNumberFormat="1" applyFont="1" applyBorder="1" applyAlignment="1">
      <alignment horizontal="right"/>
    </xf>
    <xf numFmtId="176" fontId="29" fillId="0" borderId="33" xfId="0" applyNumberFormat="1" applyFont="1" applyBorder="1" applyAlignment="1">
      <alignment horizontal="center"/>
    </xf>
    <xf numFmtId="176" fontId="29" fillId="0" borderId="4" xfId="0" applyNumberFormat="1" applyFont="1" applyBorder="1" applyAlignment="1">
      <alignment horizontal="center"/>
    </xf>
    <xf numFmtId="1" fontId="21" fillId="0" borderId="0" xfId="0" applyNumberFormat="1" applyFont="1" applyAlignment="1">
      <alignment horizontal="center"/>
    </xf>
    <xf numFmtId="0" fontId="21" fillId="0" borderId="5" xfId="0" applyFont="1" applyBorder="1" applyAlignment="1">
      <alignment wrapText="1"/>
    </xf>
    <xf numFmtId="1" fontId="21" fillId="0" borderId="33" xfId="0" applyNumberFormat="1" applyFont="1" applyBorder="1" applyAlignment="1">
      <alignment horizontal="center"/>
    </xf>
    <xf numFmtId="0" fontId="21" fillId="0" borderId="7" xfId="0" applyFont="1" applyBorder="1"/>
    <xf numFmtId="1" fontId="21" fillId="0" borderId="8" xfId="0" applyNumberFormat="1" applyFont="1" applyBorder="1" applyAlignment="1">
      <alignment horizontal="center"/>
    </xf>
    <xf numFmtId="176" fontId="29" fillId="14" borderId="33" xfId="0" applyNumberFormat="1" applyFont="1" applyFill="1" applyBorder="1" applyAlignment="1">
      <alignment horizontal="center"/>
    </xf>
    <xf numFmtId="1" fontId="3" fillId="0" borderId="8" xfId="0" applyNumberFormat="1" applyFont="1" applyBorder="1" applyAlignment="1">
      <alignment horizontal="center" vertical="center"/>
    </xf>
    <xf numFmtId="169" fontId="3" fillId="0" borderId="33" xfId="0" applyNumberFormat="1" applyFont="1" applyBorder="1"/>
    <xf numFmtId="168" fontId="17" fillId="0" borderId="0" xfId="0" applyNumberFormat="1" applyFont="1"/>
    <xf numFmtId="1" fontId="3" fillId="8" borderId="0" xfId="0" applyNumberFormat="1" applyFont="1" applyFill="1" applyAlignment="1">
      <alignment horizontal="center"/>
    </xf>
    <xf numFmtId="1" fontId="3" fillId="8" borderId="4" xfId="0" applyNumberFormat="1" applyFont="1" applyFill="1" applyBorder="1" applyAlignment="1">
      <alignment horizontal="center"/>
    </xf>
    <xf numFmtId="1" fontId="3" fillId="8" borderId="33" xfId="0" applyNumberFormat="1" applyFont="1" applyFill="1" applyBorder="1" applyAlignment="1">
      <alignment horizontal="center"/>
    </xf>
    <xf numFmtId="176" fontId="29" fillId="0" borderId="34" xfId="0" applyNumberFormat="1" applyFont="1" applyBorder="1" applyAlignment="1">
      <alignment horizontal="center"/>
    </xf>
    <xf numFmtId="168" fontId="3" fillId="0" borderId="1" xfId="0" applyNumberFormat="1" applyFont="1" applyBorder="1" applyAlignment="1">
      <alignment horizontal="center" vertical="top" wrapText="1"/>
    </xf>
    <xf numFmtId="176" fontId="29" fillId="0" borderId="38" xfId="0" applyNumberFormat="1" applyFont="1" applyBorder="1" applyAlignment="1">
      <alignment horizontal="center"/>
    </xf>
    <xf numFmtId="176" fontId="29" fillId="0" borderId="5" xfId="0" applyNumberFormat="1" applyFont="1" applyBorder="1" applyAlignment="1">
      <alignment horizontal="center"/>
    </xf>
    <xf numFmtId="176" fontId="29" fillId="0" borderId="6" xfId="0" applyNumberFormat="1" applyFont="1" applyBorder="1" applyAlignment="1">
      <alignment horizontal="center"/>
    </xf>
    <xf numFmtId="9" fontId="3" fillId="0" borderId="0" xfId="0" applyNumberFormat="1" applyFont="1"/>
    <xf numFmtId="9" fontId="3" fillId="0" borderId="3" xfId="0" applyNumberFormat="1" applyFont="1" applyBorder="1"/>
    <xf numFmtId="37" fontId="3" fillId="0" borderId="1" xfId="0" applyNumberFormat="1" applyFont="1" applyBorder="1" applyAlignment="1">
      <alignment horizontal="center" wrapText="1"/>
    </xf>
    <xf numFmtId="37" fontId="3" fillId="0" borderId="3" xfId="0" applyNumberFormat="1" applyFont="1" applyBorder="1" applyAlignment="1">
      <alignment horizontal="center" wrapText="1"/>
    </xf>
    <xf numFmtId="176" fontId="29" fillId="8" borderId="38" xfId="0" applyNumberFormat="1" applyFont="1" applyFill="1" applyBorder="1" applyAlignment="1">
      <alignment horizontal="center"/>
    </xf>
    <xf numFmtId="1" fontId="3" fillId="0" borderId="3" xfId="0" applyNumberFormat="1" applyFont="1" applyBorder="1"/>
    <xf numFmtId="1" fontId="3" fillId="0" borderId="8" xfId="0" applyNumberFormat="1" applyFont="1" applyBorder="1"/>
    <xf numFmtId="3" fontId="3" fillId="0" borderId="1" xfId="0" applyNumberFormat="1" applyFont="1" applyBorder="1" applyAlignment="1">
      <alignment horizontal="center"/>
    </xf>
    <xf numFmtId="37" fontId="3" fillId="0" borderId="0" xfId="0" applyNumberFormat="1" applyFont="1" applyAlignment="1">
      <alignment horizontal="center" wrapText="1"/>
    </xf>
    <xf numFmtId="176" fontId="29" fillId="8" borderId="34" xfId="0" applyNumberFormat="1" applyFont="1" applyFill="1" applyBorder="1" applyAlignment="1">
      <alignment horizontal="center"/>
    </xf>
    <xf numFmtId="1" fontId="3" fillId="0" borderId="2" xfId="0" applyNumberFormat="1" applyFont="1" applyBorder="1"/>
    <xf numFmtId="176" fontId="29" fillId="8" borderId="16" xfId="0" applyNumberFormat="1" applyFont="1" applyFill="1" applyBorder="1" applyAlignment="1">
      <alignment horizontal="center"/>
    </xf>
    <xf numFmtId="3" fontId="3" fillId="0" borderId="7" xfId="0" applyNumberFormat="1" applyFont="1" applyBorder="1" applyAlignment="1">
      <alignment horizontal="center"/>
    </xf>
    <xf numFmtId="1" fontId="3" fillId="8" borderId="8" xfId="0" applyNumberFormat="1" applyFont="1" applyFill="1" applyBorder="1"/>
    <xf numFmtId="1" fontId="3" fillId="8" borderId="3" xfId="0" applyNumberFormat="1" applyFont="1" applyFill="1" applyBorder="1"/>
    <xf numFmtId="1" fontId="3" fillId="8" borderId="2" xfId="0" applyNumberFormat="1" applyFont="1" applyFill="1" applyBorder="1"/>
    <xf numFmtId="168" fontId="17" fillId="23" borderId="0" xfId="0" applyNumberFormat="1" applyFont="1" applyFill="1" applyAlignment="1">
      <alignment horizontal="center" vertical="top" wrapText="1"/>
    </xf>
    <xf numFmtId="2" fontId="3" fillId="0" borderId="0" xfId="0" applyNumberFormat="1" applyFont="1" applyAlignment="1">
      <alignment horizontal="center"/>
    </xf>
    <xf numFmtId="0" fontId="12" fillId="14" borderId="0" xfId="0" applyFont="1" applyFill="1" applyAlignment="1">
      <alignment horizontal="center"/>
    </xf>
    <xf numFmtId="9" fontId="1" fillId="0" borderId="0" xfId="0" applyNumberFormat="1" applyFont="1"/>
    <xf numFmtId="1" fontId="3" fillId="15" borderId="0" xfId="0" applyNumberFormat="1" applyFont="1" applyFill="1" applyAlignment="1">
      <alignment horizontal="center" vertical="top" wrapText="1"/>
    </xf>
    <xf numFmtId="0" fontId="20" fillId="0" borderId="0" xfId="0" applyFont="1" applyAlignment="1">
      <alignment horizontal="left" vertical="top" wrapText="1"/>
    </xf>
    <xf numFmtId="1" fontId="17" fillId="0" borderId="0" xfId="0" applyNumberFormat="1" applyFont="1" applyAlignment="1">
      <alignment horizontal="center" vertical="top" wrapText="1"/>
    </xf>
    <xf numFmtId="1" fontId="3" fillId="0" borderId="15" xfId="0" applyNumberFormat="1" applyFont="1" applyBorder="1" applyAlignment="1">
      <alignment horizontal="center" vertical="top" wrapText="1"/>
    </xf>
    <xf numFmtId="168" fontId="17" fillId="0" borderId="0" xfId="0" applyNumberFormat="1" applyFont="1" applyAlignment="1">
      <alignment horizontal="center" vertical="top" wrapText="1"/>
    </xf>
    <xf numFmtId="168" fontId="3" fillId="0" borderId="0" xfId="0" applyNumberFormat="1" applyFont="1" applyAlignment="1">
      <alignment horizontal="center" vertical="top" wrapText="1"/>
    </xf>
    <xf numFmtId="168" fontId="3" fillId="0" borderId="33" xfId="0" applyNumberFormat="1" applyFont="1" applyBorder="1" applyAlignment="1">
      <alignment horizontal="right" vertical="top" wrapText="1"/>
    </xf>
    <xf numFmtId="10" fontId="3" fillId="0" borderId="0" xfId="0" applyNumberFormat="1" applyFont="1"/>
    <xf numFmtId="0" fontId="3" fillId="0" borderId="7" xfId="0" applyFont="1" applyBorder="1" applyAlignment="1">
      <alignment horizontal="left" indent="1"/>
    </xf>
    <xf numFmtId="9" fontId="3" fillId="0" borderId="8" xfId="0" applyNumberFormat="1" applyFont="1" applyBorder="1"/>
    <xf numFmtId="9" fontId="3" fillId="0" borderId="2" xfId="0" applyNumberFormat="1" applyFont="1" applyBorder="1"/>
    <xf numFmtId="2" fontId="3" fillId="0" borderId="1" xfId="0" applyNumberFormat="1" applyFont="1" applyBorder="1" applyAlignment="1">
      <alignment horizontal="center"/>
    </xf>
    <xf numFmtId="2" fontId="3" fillId="0" borderId="7" xfId="0" applyNumberFormat="1" applyFont="1" applyBorder="1" applyAlignment="1">
      <alignment horizontal="center"/>
    </xf>
    <xf numFmtId="2" fontId="3" fillId="0" borderId="8" xfId="0" applyNumberFormat="1" applyFont="1" applyBorder="1" applyAlignment="1">
      <alignment horizontal="center"/>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1" fontId="3" fillId="8" borderId="3" xfId="0" applyNumberFormat="1" applyFont="1" applyFill="1" applyBorder="1" applyAlignment="1">
      <alignment horizontal="center"/>
    </xf>
    <xf numFmtId="1" fontId="3" fillId="0" borderId="1" xfId="0" applyNumberFormat="1" applyFont="1" applyBorder="1" applyAlignment="1">
      <alignment horizontal="center"/>
    </xf>
    <xf numFmtId="1" fontId="3" fillId="0" borderId="3" xfId="0" applyNumberFormat="1" applyFont="1" applyBorder="1" applyAlignment="1">
      <alignment horizontal="center"/>
    </xf>
    <xf numFmtId="167" fontId="3" fillId="0" borderId="4" xfId="0" applyNumberFormat="1" applyFont="1" applyBorder="1" applyAlignment="1">
      <alignment horizontal="center"/>
    </xf>
    <xf numFmtId="167" fontId="3" fillId="0" borderId="6" xfId="0" applyNumberFormat="1" applyFont="1" applyBorder="1" applyAlignment="1">
      <alignment horizontal="center"/>
    </xf>
    <xf numFmtId="167" fontId="3" fillId="8" borderId="6" xfId="0" applyNumberFormat="1" applyFont="1" applyFill="1" applyBorder="1" applyAlignment="1">
      <alignment horizontal="center"/>
    </xf>
    <xf numFmtId="167" fontId="3" fillId="8" borderId="4" xfId="0" applyNumberFormat="1" applyFont="1" applyFill="1" applyBorder="1" applyAlignment="1">
      <alignment horizontal="center"/>
    </xf>
    <xf numFmtId="167" fontId="3" fillId="8" borderId="3" xfId="0" applyNumberFormat="1" applyFont="1" applyFill="1" applyBorder="1" applyAlignment="1">
      <alignment horizontal="center"/>
    </xf>
    <xf numFmtId="167" fontId="3" fillId="8" borderId="8" xfId="0" applyNumberFormat="1" applyFont="1" applyFill="1" applyBorder="1" applyAlignment="1">
      <alignment horizontal="center"/>
    </xf>
    <xf numFmtId="167" fontId="3" fillId="8" borderId="2" xfId="0" applyNumberFormat="1" applyFont="1" applyFill="1" applyBorder="1" applyAlignment="1">
      <alignment horizontal="center"/>
    </xf>
    <xf numFmtId="167" fontId="3" fillId="13" borderId="3" xfId="0" applyNumberFormat="1" applyFont="1" applyFill="1" applyBorder="1" applyAlignment="1">
      <alignment horizontal="center"/>
    </xf>
    <xf numFmtId="167" fontId="3" fillId="13" borderId="8" xfId="0" applyNumberFormat="1" applyFont="1" applyFill="1" applyBorder="1" applyAlignment="1">
      <alignment horizontal="center"/>
    </xf>
    <xf numFmtId="1" fontId="3" fillId="0" borderId="8" xfId="0" applyNumberFormat="1" applyFont="1" applyBorder="1" applyAlignment="1">
      <alignment horizontal="center"/>
    </xf>
    <xf numFmtId="167" fontId="3" fillId="0" borderId="1" xfId="0" applyNumberFormat="1" applyFont="1" applyBorder="1" applyAlignment="1">
      <alignment horizontal="center"/>
    </xf>
    <xf numFmtId="1" fontId="3" fillId="8" borderId="8" xfId="0" applyNumberFormat="1" applyFont="1" applyFill="1" applyBorder="1" applyAlignment="1">
      <alignment horizontal="center"/>
    </xf>
    <xf numFmtId="1" fontId="3" fillId="8" borderId="2" xfId="0" applyNumberFormat="1" applyFont="1" applyFill="1" applyBorder="1" applyAlignment="1">
      <alignment horizontal="center"/>
    </xf>
    <xf numFmtId="0" fontId="17" fillId="0" borderId="0" xfId="0" applyFont="1" applyAlignment="1">
      <alignment horizontal="center" vertical="top" wrapText="1"/>
    </xf>
    <xf numFmtId="3" fontId="17"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4" xfId="0" applyNumberFormat="1" applyFont="1" applyBorder="1" applyAlignment="1">
      <alignment horizontal="center"/>
    </xf>
    <xf numFmtId="167" fontId="3" fillId="0" borderId="5" xfId="0" applyNumberFormat="1" applyFont="1" applyBorder="1" applyAlignment="1">
      <alignment horizontal="center"/>
    </xf>
    <xf numFmtId="0" fontId="17" fillId="0" borderId="0" xfId="0" applyFont="1" applyAlignment="1">
      <alignment horizontal="left" vertical="top" wrapText="1"/>
    </xf>
    <xf numFmtId="0" fontId="21" fillId="0" borderId="42" xfId="0" applyFont="1" applyBorder="1" applyAlignment="1">
      <alignment horizontal="left" indent="2"/>
    </xf>
    <xf numFmtId="165" fontId="3" fillId="0" borderId="15" xfId="0" applyNumberFormat="1" applyFont="1" applyBorder="1" applyAlignment="1">
      <alignment horizontal="center" vertical="top" wrapText="1"/>
    </xf>
    <xf numFmtId="176" fontId="21" fillId="0" borderId="0" xfId="0" applyNumberFormat="1" applyFont="1" applyAlignment="1">
      <alignment horizontal="center"/>
    </xf>
    <xf numFmtId="0" fontId="3" fillId="0" borderId="5" xfId="0" applyFont="1" applyBorder="1" applyAlignment="1">
      <alignment horizontal="left" indent="1"/>
    </xf>
    <xf numFmtId="0" fontId="29" fillId="0" borderId="1" xfId="0" applyFont="1" applyBorder="1" applyAlignment="1">
      <alignment horizontal="left" wrapText="1"/>
    </xf>
    <xf numFmtId="0" fontId="31" fillId="0" borderId="0" xfId="0" applyFont="1"/>
    <xf numFmtId="0" fontId="21" fillId="0" borderId="0" xfId="0" applyFont="1"/>
    <xf numFmtId="0" fontId="29" fillId="0" borderId="0" xfId="0" applyFont="1"/>
    <xf numFmtId="0" fontId="32" fillId="0" borderId="1" xfId="0" applyFont="1" applyBorder="1" applyAlignment="1">
      <alignment horizontal="left"/>
    </xf>
    <xf numFmtId="176" fontId="21" fillId="0" borderId="3" xfId="0" applyNumberFormat="1" applyFont="1" applyBorder="1" applyAlignment="1">
      <alignment horizontal="center"/>
    </xf>
    <xf numFmtId="167" fontId="17" fillId="0" borderId="0" xfId="0" applyNumberFormat="1" applyFont="1"/>
    <xf numFmtId="0" fontId="17" fillId="0" borderId="7" xfId="0" applyFont="1" applyBorder="1" applyAlignment="1">
      <alignment horizontal="left" vertical="top" wrapText="1"/>
    </xf>
    <xf numFmtId="0" fontId="12" fillId="0" borderId="39"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21" fillId="0" borderId="13" xfId="0" applyFont="1" applyBorder="1" applyAlignment="1">
      <alignment horizontal="left" indent="1"/>
    </xf>
    <xf numFmtId="0" fontId="21" fillId="0" borderId="12" xfId="0" applyFont="1" applyBorder="1" applyAlignment="1">
      <alignment horizontal="left" indent="1"/>
    </xf>
    <xf numFmtId="0" fontId="3" fillId="0" borderId="44" xfId="0" applyFont="1" applyBorder="1"/>
    <xf numFmtId="168" fontId="17" fillId="0" borderId="0" xfId="0" applyNumberFormat="1" applyFont="1" applyAlignment="1">
      <alignment horizontal="right" vertical="top" wrapText="1"/>
    </xf>
    <xf numFmtId="176" fontId="29" fillId="0" borderId="0" xfId="0" applyNumberFormat="1" applyFont="1" applyAlignment="1">
      <alignment horizontal="center"/>
    </xf>
    <xf numFmtId="1" fontId="3" fillId="0" borderId="0" xfId="0" applyNumberFormat="1" applyFont="1" applyAlignment="1">
      <alignment horizontal="center" vertical="top" wrapText="1"/>
    </xf>
    <xf numFmtId="1" fontId="3" fillId="0" borderId="0" xfId="0" applyNumberFormat="1" applyFont="1" applyAlignment="1">
      <alignment horizontal="center" vertical="center"/>
    </xf>
    <xf numFmtId="1" fontId="3" fillId="0" borderId="33" xfId="0" applyNumberFormat="1" applyFont="1" applyBorder="1" applyAlignment="1">
      <alignment horizontal="center" vertical="center"/>
    </xf>
    <xf numFmtId="168" fontId="3" fillId="13" borderId="0" xfId="0" applyNumberFormat="1" applyFont="1" applyFill="1" applyAlignment="1">
      <alignment horizontal="center" vertical="top" wrapText="1"/>
    </xf>
    <xf numFmtId="1" fontId="17" fillId="8" borderId="0" xfId="0" applyNumberFormat="1" applyFont="1" applyFill="1" applyAlignment="1">
      <alignment horizontal="center" vertical="top" wrapText="1"/>
    </xf>
    <xf numFmtId="1" fontId="3" fillId="8" borderId="0" xfId="0" applyNumberFormat="1" applyFont="1" applyFill="1" applyAlignment="1">
      <alignment horizontal="center" vertical="top" wrapText="1"/>
    </xf>
    <xf numFmtId="168" fontId="17" fillId="23" borderId="8" xfId="0" applyNumberFormat="1" applyFont="1" applyFill="1" applyBorder="1" applyAlignment="1">
      <alignment horizontal="center" vertical="top" wrapText="1"/>
    </xf>
    <xf numFmtId="168" fontId="17" fillId="14" borderId="0" xfId="0" applyNumberFormat="1" applyFont="1" applyFill="1" applyAlignment="1">
      <alignment horizontal="center" vertical="top" wrapText="1"/>
    </xf>
    <xf numFmtId="168" fontId="3" fillId="15" borderId="0" xfId="0" applyNumberFormat="1" applyFont="1" applyFill="1" applyAlignment="1">
      <alignment horizontal="center" vertical="top" wrapText="1"/>
    </xf>
    <xf numFmtId="167" fontId="3" fillId="13" borderId="0" xfId="0" applyNumberFormat="1" applyFont="1" applyFill="1" applyAlignment="1">
      <alignment horizontal="center"/>
    </xf>
    <xf numFmtId="167" fontId="3" fillId="8" borderId="0" xfId="0" applyNumberFormat="1" applyFont="1" applyFill="1" applyAlignment="1">
      <alignment horizontal="center"/>
    </xf>
    <xf numFmtId="167" fontId="3" fillId="0" borderId="0" xfId="0" applyNumberFormat="1" applyFont="1" applyAlignment="1">
      <alignment horizontal="center"/>
    </xf>
    <xf numFmtId="167" fontId="3" fillId="23" borderId="2" xfId="0" applyNumberFormat="1" applyFont="1" applyFill="1" applyBorder="1" applyAlignment="1">
      <alignment horizontal="center"/>
    </xf>
    <xf numFmtId="1" fontId="3" fillId="18" borderId="6" xfId="0" applyNumberFormat="1" applyFont="1" applyFill="1" applyBorder="1" applyAlignment="1">
      <alignment horizontal="center"/>
    </xf>
    <xf numFmtId="1" fontId="3" fillId="18" borderId="0" xfId="0" applyNumberFormat="1" applyFont="1" applyFill="1" applyAlignment="1">
      <alignment horizontal="center"/>
    </xf>
    <xf numFmtId="1" fontId="3" fillId="18" borderId="8" xfId="0" applyNumberFormat="1" applyFont="1" applyFill="1" applyBorder="1" applyAlignment="1">
      <alignment horizontal="center"/>
    </xf>
    <xf numFmtId="167" fontId="3" fillId="18" borderId="6" xfId="0" applyNumberFormat="1" applyFont="1" applyFill="1" applyBorder="1" applyAlignment="1">
      <alignment horizontal="center"/>
    </xf>
    <xf numFmtId="167" fontId="3" fillId="18" borderId="0" xfId="0" applyNumberFormat="1" applyFont="1" applyFill="1" applyAlignment="1">
      <alignment horizontal="center"/>
    </xf>
    <xf numFmtId="167" fontId="3" fillId="18" borderId="8" xfId="0" applyNumberFormat="1" applyFont="1" applyFill="1" applyBorder="1" applyAlignment="1">
      <alignment horizontal="center"/>
    </xf>
    <xf numFmtId="168" fontId="3" fillId="8" borderId="33" xfId="0" applyNumberFormat="1" applyFont="1" applyFill="1" applyBorder="1" applyAlignment="1">
      <alignment horizontal="right" vertical="top" wrapText="1"/>
    </xf>
    <xf numFmtId="168" fontId="3" fillId="0" borderId="0" xfId="0" applyNumberFormat="1" applyFont="1" applyAlignment="1">
      <alignment horizontal="right" vertical="top" wrapText="1"/>
    </xf>
    <xf numFmtId="0" fontId="3" fillId="0" borderId="1" xfId="0" applyFont="1" applyBorder="1" applyAlignment="1">
      <alignment horizontal="left" indent="1"/>
    </xf>
    <xf numFmtId="0" fontId="3" fillId="0" borderId="4" xfId="0" applyFont="1" applyBorder="1" applyAlignment="1">
      <alignment horizontal="center"/>
    </xf>
    <xf numFmtId="1" fontId="29" fillId="0" borderId="0" xfId="0" applyNumberFormat="1" applyFont="1" applyAlignment="1">
      <alignment horizontal="center"/>
    </xf>
    <xf numFmtId="176" fontId="29" fillId="0" borderId="0" xfId="0" applyNumberFormat="1" applyFont="1"/>
    <xf numFmtId="0" fontId="29" fillId="0" borderId="0" xfId="0" applyFont="1" applyAlignment="1">
      <alignment horizontal="left" indent="2"/>
    </xf>
    <xf numFmtId="177" fontId="29" fillId="0" borderId="0" xfId="0" applyNumberFormat="1" applyFont="1" applyAlignment="1">
      <alignment horizontal="center"/>
    </xf>
    <xf numFmtId="1" fontId="12" fillId="0" borderId="0" xfId="0" applyNumberFormat="1" applyFont="1" applyAlignment="1">
      <alignment horizontal="center"/>
    </xf>
    <xf numFmtId="176" fontId="29" fillId="14" borderId="6" xfId="0" applyNumberFormat="1" applyFont="1" applyFill="1" applyBorder="1" applyAlignment="1">
      <alignment horizontal="center"/>
    </xf>
    <xf numFmtId="168" fontId="3" fillId="0" borderId="1" xfId="0" applyNumberFormat="1" applyFont="1" applyBorder="1" applyAlignment="1">
      <alignment horizontal="right" vertical="top" wrapText="1"/>
    </xf>
    <xf numFmtId="3" fontId="17" fillId="0" borderId="8" xfId="0" applyNumberFormat="1" applyFont="1" applyBorder="1" applyAlignment="1">
      <alignment horizontal="center" vertical="top" wrapText="1"/>
    </xf>
    <xf numFmtId="177" fontId="21" fillId="0" borderId="0" xfId="0" applyNumberFormat="1" applyFont="1" applyAlignment="1">
      <alignment horizontal="center"/>
    </xf>
    <xf numFmtId="0" fontId="12" fillId="14" borderId="34" xfId="0" applyFont="1" applyFill="1" applyBorder="1" applyAlignment="1">
      <alignment horizontal="center"/>
    </xf>
    <xf numFmtId="0" fontId="12" fillId="14" borderId="16" xfId="0" applyFont="1" applyFill="1" applyBorder="1" applyAlignment="1">
      <alignment horizontal="center"/>
    </xf>
    <xf numFmtId="0" fontId="12" fillId="14" borderId="6" xfId="0" applyFont="1" applyFill="1" applyBorder="1" applyAlignment="1">
      <alignment horizontal="center"/>
    </xf>
    <xf numFmtId="0" fontId="12" fillId="14" borderId="4" xfId="0" applyFont="1" applyFill="1" applyBorder="1" applyAlignment="1">
      <alignment horizontal="center"/>
    </xf>
    <xf numFmtId="0" fontId="21" fillId="0" borderId="1" xfId="0" applyFont="1" applyBorder="1"/>
    <xf numFmtId="10" fontId="1" fillId="0" borderId="7" xfId="0" applyNumberFormat="1" applyFont="1" applyBorder="1"/>
    <xf numFmtId="0" fontId="12" fillId="0" borderId="33" xfId="0" applyFont="1" applyBorder="1" applyAlignment="1">
      <alignment vertical="center" wrapText="1"/>
    </xf>
    <xf numFmtId="10" fontId="33" fillId="13" borderId="8" xfId="0" applyNumberFormat="1" applyFont="1" applyFill="1" applyBorder="1" applyAlignment="1">
      <alignment horizontal="center"/>
    </xf>
    <xf numFmtId="10" fontId="33" fillId="0" borderId="5" xfId="0" applyNumberFormat="1" applyFont="1" applyBorder="1" applyAlignment="1">
      <alignment horizontal="center"/>
    </xf>
    <xf numFmtId="10" fontId="33" fillId="13" borderId="33" xfId="0" applyNumberFormat="1" applyFont="1" applyFill="1" applyBorder="1" applyAlignment="1">
      <alignment horizontal="center"/>
    </xf>
    <xf numFmtId="0" fontId="34" fillId="0" borderId="0" xfId="0" applyFont="1" applyAlignment="1">
      <alignment wrapText="1"/>
    </xf>
    <xf numFmtId="0" fontId="34" fillId="0" borderId="8" xfId="0" applyFont="1" applyBorder="1" applyAlignment="1">
      <alignment wrapText="1"/>
    </xf>
    <xf numFmtId="2" fontId="33" fillId="0" borderId="4" xfId="0" applyNumberFormat="1"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8" xfId="0" applyFont="1" applyBorder="1" applyAlignment="1">
      <alignment horizontal="left"/>
    </xf>
    <xf numFmtId="178" fontId="1" fillId="0" borderId="0" xfId="0" applyNumberFormat="1" applyFont="1"/>
    <xf numFmtId="10" fontId="33" fillId="0" borderId="6" xfId="0" applyNumberFormat="1" applyFont="1" applyBorder="1" applyAlignment="1">
      <alignment horizontal="center"/>
    </xf>
    <xf numFmtId="10" fontId="33" fillId="0" borderId="1" xfId="0" applyNumberFormat="1" applyFont="1" applyBorder="1" applyAlignment="1">
      <alignment horizontal="center"/>
    </xf>
    <xf numFmtId="0" fontId="17" fillId="0" borderId="2" xfId="0" applyFont="1" applyBorder="1" applyAlignment="1">
      <alignment horizontal="center"/>
    </xf>
    <xf numFmtId="10" fontId="33" fillId="0" borderId="3" xfId="0" applyNumberFormat="1" applyFont="1" applyBorder="1" applyAlignment="1">
      <alignment horizontal="center"/>
    </xf>
    <xf numFmtId="10" fontId="33" fillId="0" borderId="7" xfId="0" applyNumberFormat="1" applyFont="1" applyBorder="1" applyAlignment="1">
      <alignment horizontal="center"/>
    </xf>
    <xf numFmtId="10" fontId="33" fillId="0" borderId="8" xfId="0" applyNumberFormat="1" applyFont="1" applyBorder="1" applyAlignment="1">
      <alignment horizontal="center"/>
    </xf>
    <xf numFmtId="10" fontId="33" fillId="0" borderId="2" xfId="0" applyNumberFormat="1" applyFont="1" applyBorder="1" applyAlignment="1">
      <alignment horizontal="center"/>
    </xf>
    <xf numFmtId="0" fontId="12" fillId="0" borderId="1" xfId="0" applyFont="1" applyBorder="1" applyAlignment="1">
      <alignment wrapText="1"/>
    </xf>
    <xf numFmtId="0" fontId="33" fillId="0" borderId="1" xfId="0" applyFont="1" applyBorder="1" applyAlignment="1">
      <alignment wrapText="1"/>
    </xf>
    <xf numFmtId="0" fontId="33" fillId="0" borderId="0" xfId="0" applyFont="1" applyAlignment="1">
      <alignment wrapText="1"/>
    </xf>
    <xf numFmtId="2" fontId="33" fillId="0" borderId="0" xfId="0" applyNumberFormat="1" applyFont="1" applyAlignment="1">
      <alignment horizontal="center"/>
    </xf>
    <xf numFmtId="2" fontId="35" fillId="0" borderId="0" xfId="0" applyNumberFormat="1" applyFont="1" applyAlignment="1">
      <alignment horizontal="center"/>
    </xf>
    <xf numFmtId="0" fontId="35" fillId="0" borderId="0" xfId="0" applyFont="1" applyAlignment="1">
      <alignment horizontal="center"/>
    </xf>
    <xf numFmtId="2" fontId="33" fillId="0" borderId="8" xfId="0" applyNumberFormat="1" applyFont="1" applyBorder="1" applyAlignment="1">
      <alignment horizontal="center"/>
    </xf>
    <xf numFmtId="2" fontId="33" fillId="0" borderId="6" xfId="0" applyNumberFormat="1" applyFont="1" applyBorder="1" applyAlignment="1">
      <alignment horizontal="center"/>
    </xf>
    <xf numFmtId="2" fontId="33" fillId="0" borderId="3" xfId="0" applyNumberFormat="1" applyFont="1" applyBorder="1" applyAlignment="1">
      <alignment horizontal="center"/>
    </xf>
    <xf numFmtId="2" fontId="33" fillId="0" borderId="2" xfId="0" applyNumberFormat="1" applyFont="1" applyBorder="1" applyAlignment="1">
      <alignment horizontal="center"/>
    </xf>
    <xf numFmtId="0" fontId="12" fillId="0" borderId="5" xfId="0" applyFont="1" applyBorder="1" applyAlignment="1">
      <alignment vertical="center" wrapText="1"/>
    </xf>
    <xf numFmtId="0" fontId="34" fillId="0" borderId="5" xfId="0" applyFont="1" applyBorder="1" applyAlignment="1">
      <alignment wrapText="1"/>
    </xf>
    <xf numFmtId="0" fontId="34" fillId="0" borderId="4" xfId="0" applyFont="1" applyBorder="1" applyAlignment="1">
      <alignment wrapText="1"/>
    </xf>
    <xf numFmtId="0" fontId="34" fillId="0" borderId="34" xfId="0" applyFont="1" applyBorder="1" applyAlignment="1">
      <alignment wrapText="1"/>
    </xf>
    <xf numFmtId="0" fontId="34" fillId="0" borderId="16" xfId="0" applyFont="1" applyBorder="1" applyAlignment="1">
      <alignment wrapText="1"/>
    </xf>
    <xf numFmtId="10" fontId="33" fillId="17" borderId="0" xfId="0" applyNumberFormat="1" applyFont="1" applyFill="1" applyAlignment="1">
      <alignment horizontal="center"/>
    </xf>
    <xf numFmtId="10" fontId="33" fillId="17" borderId="3" xfId="0" applyNumberFormat="1" applyFont="1" applyFill="1" applyBorder="1" applyAlignment="1">
      <alignment horizontal="center"/>
    </xf>
    <xf numFmtId="10" fontId="1" fillId="17" borderId="1" xfId="0" applyNumberFormat="1" applyFont="1" applyFill="1" applyBorder="1"/>
    <xf numFmtId="10" fontId="33" fillId="0" borderId="0" xfId="0" applyNumberFormat="1" applyFont="1" applyAlignment="1">
      <alignment horizontal="center"/>
    </xf>
    <xf numFmtId="10" fontId="33" fillId="12" borderId="0" xfId="0" applyNumberFormat="1" applyFont="1" applyFill="1" applyAlignment="1">
      <alignment horizontal="center"/>
    </xf>
    <xf numFmtId="0" fontId="2" fillId="0" borderId="0" xfId="0" applyFont="1" applyAlignment="1">
      <alignment horizontal="left"/>
    </xf>
    <xf numFmtId="10" fontId="33" fillId="13" borderId="0" xfId="0" applyNumberFormat="1" applyFont="1" applyFill="1" applyAlignment="1">
      <alignment horizontal="center"/>
    </xf>
    <xf numFmtId="0" fontId="3" fillId="0" borderId="0" xfId="0" applyFont="1" applyAlignment="1">
      <alignment vertical="top"/>
    </xf>
    <xf numFmtId="10" fontId="33" fillId="0" borderId="4" xfId="0" applyNumberFormat="1" applyFont="1" applyBorder="1" applyAlignment="1">
      <alignment horizontal="center"/>
    </xf>
    <xf numFmtId="10" fontId="33" fillId="13" borderId="6" xfId="0" applyNumberFormat="1" applyFont="1" applyFill="1" applyBorder="1" applyAlignment="1">
      <alignment horizontal="center"/>
    </xf>
    <xf numFmtId="10" fontId="33" fillId="0" borderId="33" xfId="0" applyNumberFormat="1" applyFont="1" applyBorder="1" applyAlignment="1">
      <alignment horizontal="center"/>
    </xf>
    <xf numFmtId="0" fontId="2" fillId="17" borderId="3" xfId="0" applyFont="1" applyFill="1" applyBorder="1" applyAlignment="1">
      <alignment horizontal="left"/>
    </xf>
    <xf numFmtId="0" fontId="2" fillId="17" borderId="2" xfId="0" applyFont="1" applyFill="1" applyBorder="1" applyAlignment="1">
      <alignment horizontal="left"/>
    </xf>
    <xf numFmtId="10" fontId="33" fillId="17" borderId="8" xfId="0" applyNumberFormat="1" applyFont="1" applyFill="1" applyBorder="1" applyAlignment="1">
      <alignment horizontal="center"/>
    </xf>
    <xf numFmtId="10" fontId="33" fillId="17" borderId="2" xfId="0" applyNumberFormat="1" applyFont="1" applyFill="1" applyBorder="1" applyAlignment="1">
      <alignment horizontal="center"/>
    </xf>
    <xf numFmtId="10" fontId="1" fillId="0" borderId="5" xfId="0" applyNumberFormat="1" applyFont="1" applyBorder="1"/>
    <xf numFmtId="0" fontId="2" fillId="0" borderId="4" xfId="0" applyFont="1" applyBorder="1" applyAlignment="1">
      <alignment horizontal="left"/>
    </xf>
    <xf numFmtId="0" fontId="2" fillId="0" borderId="2" xfId="0" applyFont="1" applyBorder="1" applyAlignment="1">
      <alignment horizontal="left"/>
    </xf>
    <xf numFmtId="10" fontId="33" fillId="0" borderId="45" xfId="0" applyNumberFormat="1" applyFont="1" applyBorder="1" applyAlignment="1">
      <alignment horizontal="center"/>
    </xf>
    <xf numFmtId="10" fontId="33" fillId="0" borderId="46" xfId="0" applyNumberFormat="1" applyFont="1" applyBorder="1" applyAlignment="1">
      <alignment horizontal="center"/>
    </xf>
    <xf numFmtId="10" fontId="33" fillId="0" borderId="47" xfId="0" applyNumberFormat="1" applyFont="1" applyBorder="1" applyAlignment="1">
      <alignment horizontal="center"/>
    </xf>
    <xf numFmtId="0" fontId="1" fillId="0" borderId="46" xfId="0" applyFont="1" applyBorder="1"/>
    <xf numFmtId="0" fontId="3" fillId="8" borderId="12" xfId="0" applyFont="1" applyFill="1" applyBorder="1" applyAlignment="1">
      <alignment horizontal="center" wrapText="1"/>
    </xf>
    <xf numFmtId="0" fontId="3" fillId="13" borderId="39" xfId="0" applyFont="1" applyFill="1" applyBorder="1" applyAlignment="1">
      <alignment horizontal="center" wrapText="1"/>
    </xf>
    <xf numFmtId="0" fontId="3" fillId="13" borderId="16" xfId="0" applyFont="1" applyFill="1" applyBorder="1" applyAlignment="1">
      <alignment horizontal="center" wrapText="1"/>
    </xf>
    <xf numFmtId="14" fontId="3" fillId="13" borderId="14" xfId="0" applyNumberFormat="1" applyFont="1" applyFill="1" applyBorder="1" applyAlignment="1">
      <alignment horizontal="right"/>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3" borderId="13" xfId="0" applyNumberFormat="1" applyFont="1" applyFill="1" applyBorder="1" applyAlignment="1">
      <alignment horizontal="right"/>
    </xf>
    <xf numFmtId="14" fontId="3" fillId="13" borderId="12" xfId="0" applyNumberFormat="1" applyFont="1" applyFill="1" applyBorder="1" applyAlignment="1">
      <alignment horizontal="right"/>
    </xf>
    <xf numFmtId="2" fontId="3" fillId="0" borderId="3" xfId="0" applyNumberFormat="1" applyFont="1" applyBorder="1" applyAlignment="1">
      <alignment horizontal="center"/>
    </xf>
    <xf numFmtId="2" fontId="3" fillId="0" borderId="2" xfId="0" applyNumberFormat="1" applyFont="1" applyBorder="1" applyAlignment="1">
      <alignment horizontal="center"/>
    </xf>
    <xf numFmtId="0" fontId="3" fillId="13" borderId="7" xfId="0" applyFont="1" applyFill="1" applyBorder="1" applyAlignment="1">
      <alignment horizontal="center" wrapText="1"/>
    </xf>
    <xf numFmtId="0" fontId="3" fillId="13" borderId="8" xfId="0" applyFont="1" applyFill="1" applyBorder="1" applyAlignment="1">
      <alignment horizontal="center" wrapText="1"/>
    </xf>
    <xf numFmtId="165" fontId="1" fillId="13" borderId="3" xfId="0" applyNumberFormat="1" applyFont="1" applyFill="1" applyBorder="1" applyAlignment="1">
      <alignment horizontal="center"/>
    </xf>
    <xf numFmtId="0" fontId="1" fillId="13" borderId="2"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3" borderId="14" xfId="0" applyFont="1" applyFill="1" applyBorder="1" applyAlignment="1">
      <alignment horizontal="center" wrapText="1"/>
    </xf>
    <xf numFmtId="0" fontId="1" fillId="3" borderId="16" xfId="0" applyFont="1" applyFill="1" applyBorder="1" applyAlignment="1">
      <alignment wrapText="1"/>
    </xf>
    <xf numFmtId="0" fontId="1" fillId="0" borderId="8" xfId="0" applyFont="1" applyBorder="1" applyAlignment="1">
      <alignment horizontal="left" indent="2"/>
    </xf>
    <xf numFmtId="0" fontId="1" fillId="0" borderId="6"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3" xfId="0" applyFont="1" applyFill="1" applyBorder="1" applyAlignment="1">
      <alignment horizontal="center"/>
    </xf>
    <xf numFmtId="165" fontId="1" fillId="12" borderId="2" xfId="0" applyNumberFormat="1" applyFont="1" applyFill="1" applyBorder="1" applyAlignment="1">
      <alignment horizontal="center"/>
    </xf>
    <xf numFmtId="0" fontId="2" fillId="0" borderId="5" xfId="0" applyFont="1" applyBorder="1" applyAlignment="1">
      <alignment horizontal="left" wrapText="1" indent="2"/>
    </xf>
    <xf numFmtId="0" fontId="1" fillId="13" borderId="8" xfId="0" applyFont="1" applyFill="1" applyBorder="1" applyAlignment="1">
      <alignment horizontal="center"/>
    </xf>
    <xf numFmtId="165" fontId="1" fillId="0" borderId="33" xfId="0" applyNumberFormat="1" applyFont="1" applyBorder="1" applyAlignment="1">
      <alignment horizontal="center"/>
    </xf>
    <xf numFmtId="165" fontId="1" fillId="13" borderId="4"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2" borderId="2"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17" fillId="13" borderId="3" xfId="0" applyFont="1" applyFill="1" applyBorder="1" applyAlignment="1">
      <alignment horizontal="center"/>
    </xf>
    <xf numFmtId="0" fontId="1" fillId="0" borderId="1" xfId="0" applyFont="1" applyBorder="1" applyAlignment="1">
      <alignment horizontal="center"/>
    </xf>
    <xf numFmtId="0" fontId="17" fillId="8" borderId="8" xfId="0" applyFont="1" applyFill="1" applyBorder="1" applyAlignment="1">
      <alignment horizontal="center"/>
    </xf>
    <xf numFmtId="0" fontId="17" fillId="8" borderId="2" xfId="0" applyFont="1" applyFill="1" applyBorder="1" applyAlignment="1">
      <alignment horizontal="center"/>
    </xf>
    <xf numFmtId="0" fontId="1" fillId="0" borderId="12" xfId="0" applyFont="1" applyBorder="1" applyAlignment="1">
      <alignment horizontal="left"/>
    </xf>
    <xf numFmtId="0" fontId="1" fillId="13" borderId="7"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17" fillId="8" borderId="0" xfId="0" applyFont="1" applyFill="1" applyAlignment="1">
      <alignment horizontal="center"/>
    </xf>
    <xf numFmtId="0" fontId="17" fillId="8" borderId="3" xfId="0" applyFont="1" applyFill="1" applyBorder="1" applyAlignment="1">
      <alignment horizontal="center"/>
    </xf>
    <xf numFmtId="0" fontId="17" fillId="13"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9"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3" fillId="0" borderId="0" xfId="0" applyFont="1"/>
    <xf numFmtId="166" fontId="1" fillId="0" borderId="0" xfId="0" applyNumberFormat="1" applyFont="1"/>
    <xf numFmtId="169" fontId="33" fillId="0" borderId="0" xfId="0" applyNumberFormat="1" applyFont="1"/>
    <xf numFmtId="0" fontId="3" fillId="0" borderId="0" xfId="0" applyFont="1" applyAlignment="1">
      <alignment vertical="center"/>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8" xfId="0" applyNumberFormat="1" applyFont="1" applyBorder="1"/>
    <xf numFmtId="1" fontId="3" fillId="0" borderId="0" xfId="0" applyNumberFormat="1" applyFont="1" applyAlignment="1">
      <alignment horizontal="right"/>
    </xf>
    <xf numFmtId="0" fontId="3" fillId="0" borderId="8" xfId="0" applyFont="1" applyBorder="1" applyAlignment="1">
      <alignment horizontal="right"/>
    </xf>
    <xf numFmtId="3" fontId="3" fillId="0" borderId="8" xfId="0" applyNumberFormat="1" applyFont="1" applyBorder="1" applyAlignment="1">
      <alignment horizontal="right"/>
    </xf>
    <xf numFmtId="0" fontId="38" fillId="0" borderId="0" xfId="0" applyFont="1" applyAlignment="1">
      <alignment horizontal="left"/>
    </xf>
    <xf numFmtId="0" fontId="38" fillId="0" borderId="0" xfId="0" applyFont="1" applyAlignment="1">
      <alignment horizontal="center" wrapText="1"/>
    </xf>
    <xf numFmtId="1" fontId="39" fillId="0" borderId="48" xfId="0" applyNumberFormat="1" applyFont="1" applyBorder="1" applyAlignment="1">
      <alignment horizontal="center" vertical="top"/>
    </xf>
    <xf numFmtId="0" fontId="38" fillId="26" borderId="48" xfId="0" applyFont="1" applyFill="1" applyBorder="1" applyAlignment="1">
      <alignment horizontal="center" vertical="top"/>
    </xf>
    <xf numFmtId="0" fontId="38" fillId="0" borderId="0" xfId="0" applyFont="1" applyAlignment="1">
      <alignment horizontal="center"/>
    </xf>
    <xf numFmtId="0" fontId="38" fillId="0" borderId="0" xfId="0" applyFont="1" applyAlignment="1">
      <alignment horizontal="left" wrapText="1"/>
    </xf>
    <xf numFmtId="0" fontId="39" fillId="0" borderId="0" xfId="0" applyFont="1" applyAlignment="1">
      <alignment horizontal="left" vertical="top"/>
    </xf>
    <xf numFmtId="0" fontId="39" fillId="0" borderId="0" xfId="0" applyFont="1" applyAlignment="1">
      <alignment horizontal="center" vertical="top" wrapText="1"/>
    </xf>
    <xf numFmtId="1" fontId="39" fillId="7" borderId="0" xfId="0" applyNumberFormat="1" applyFont="1" applyFill="1" applyAlignment="1">
      <alignment horizontal="center" vertical="top"/>
    </xf>
    <xf numFmtId="0" fontId="38" fillId="7" borderId="0" xfId="0" applyFont="1" applyFill="1" applyAlignment="1">
      <alignment horizontal="center" vertical="top"/>
    </xf>
    <xf numFmtId="0" fontId="38" fillId="7" borderId="0" xfId="0" applyFont="1" applyFill="1" applyAlignment="1">
      <alignment horizontal="left" vertical="top" wrapText="1"/>
    </xf>
    <xf numFmtId="0" fontId="38" fillId="0" borderId="0" xfId="0" applyFont="1" applyAlignment="1">
      <alignment horizontal="left" vertical="top" wrapText="1"/>
    </xf>
    <xf numFmtId="0" fontId="39" fillId="0" borderId="34" xfId="0" applyFont="1" applyBorder="1" applyAlignment="1">
      <alignment horizontal="left" vertical="top"/>
    </xf>
    <xf numFmtId="0" fontId="39" fillId="0" borderId="34" xfId="0" applyFont="1" applyBorder="1" applyAlignment="1">
      <alignment horizontal="center" vertical="top" wrapText="1"/>
    </xf>
    <xf numFmtId="1" fontId="39" fillId="3" borderId="34" xfId="0" applyNumberFormat="1" applyFont="1" applyFill="1" applyBorder="1" applyAlignment="1">
      <alignment horizontal="center" vertical="top"/>
    </xf>
    <xf numFmtId="3" fontId="39" fillId="3" borderId="34" xfId="0" applyNumberFormat="1" applyFont="1" applyFill="1" applyBorder="1" applyAlignment="1">
      <alignment horizontal="center" vertical="top"/>
    </xf>
    <xf numFmtId="0" fontId="38" fillId="3" borderId="34" xfId="0" applyFont="1" applyFill="1" applyBorder="1" applyAlignment="1">
      <alignment horizontal="center" vertical="top"/>
    </xf>
    <xf numFmtId="0" fontId="38" fillId="0" borderId="34" xfId="0" applyFont="1" applyBorder="1" applyAlignment="1">
      <alignment horizontal="left" vertical="top" wrapText="1"/>
    </xf>
    <xf numFmtId="0" fontId="39" fillId="0" borderId="6" xfId="0" applyFont="1" applyBorder="1" applyAlignment="1">
      <alignment horizontal="left" vertical="top"/>
    </xf>
    <xf numFmtId="0" fontId="39" fillId="0" borderId="6" xfId="0" applyFont="1" applyBorder="1" applyAlignment="1">
      <alignment horizontal="center" vertical="top" wrapText="1"/>
    </xf>
    <xf numFmtId="3" fontId="40" fillId="0" borderId="0" xfId="0" applyNumberFormat="1" applyFont="1" applyAlignment="1">
      <alignment vertical="top"/>
    </xf>
    <xf numFmtId="0" fontId="39" fillId="7" borderId="6" xfId="0" applyFont="1" applyFill="1" applyBorder="1" applyAlignment="1">
      <alignment horizontal="center" vertical="top"/>
    </xf>
    <xf numFmtId="0" fontId="38" fillId="0" borderId="6" xfId="0" applyFont="1" applyBorder="1" applyAlignment="1">
      <alignment horizontal="left" vertical="top" wrapText="1"/>
    </xf>
    <xf numFmtId="0" fontId="38" fillId="0" borderId="0" xfId="0" applyFont="1" applyAlignment="1">
      <alignment horizontal="left" vertical="top"/>
    </xf>
    <xf numFmtId="0" fontId="38" fillId="0" borderId="0" xfId="0" applyFont="1" applyAlignment="1">
      <alignment horizontal="center" vertical="top" wrapText="1"/>
    </xf>
    <xf numFmtId="3" fontId="39" fillId="7" borderId="0" xfId="0" applyNumberFormat="1" applyFont="1" applyFill="1" applyAlignment="1">
      <alignment horizontal="center" vertical="top"/>
    </xf>
    <xf numFmtId="0" fontId="39" fillId="7" borderId="0" xfId="0" applyFont="1" applyFill="1" applyAlignment="1">
      <alignment horizontal="center" vertical="top"/>
    </xf>
    <xf numFmtId="1" fontId="38" fillId="7" borderId="0" xfId="0" applyNumberFormat="1" applyFont="1" applyFill="1" applyAlignment="1">
      <alignment horizontal="center" vertical="top"/>
    </xf>
    <xf numFmtId="0" fontId="38" fillId="0" borderId="0" xfId="0" applyFont="1" applyAlignment="1">
      <alignment horizontal="center" vertical="top"/>
    </xf>
    <xf numFmtId="1" fontId="38" fillId="7" borderId="0" xfId="0" applyNumberFormat="1" applyFont="1" applyFill="1" applyAlignment="1">
      <alignment horizontal="center"/>
    </xf>
    <xf numFmtId="1" fontId="38" fillId="7" borderId="0" xfId="0" applyNumberFormat="1" applyFont="1" applyFill="1" applyAlignment="1">
      <alignment horizontal="center" vertical="center"/>
    </xf>
    <xf numFmtId="1" fontId="39" fillId="7" borderId="0" xfId="0" applyNumberFormat="1" applyFont="1" applyFill="1" applyAlignment="1">
      <alignment horizontal="center" vertical="center"/>
    </xf>
    <xf numFmtId="0" fontId="38" fillId="0" borderId="0" xfId="0" applyFont="1" applyAlignment="1">
      <alignment horizontal="left" vertical="center"/>
    </xf>
    <xf numFmtId="0" fontId="38" fillId="0" borderId="0" xfId="0" applyFont="1" applyAlignment="1">
      <alignment horizontal="center" vertical="center" wrapText="1"/>
    </xf>
    <xf numFmtId="0" fontId="39" fillId="0" borderId="0" xfId="0" applyFont="1" applyAlignment="1">
      <alignment horizontal="left" vertical="top" wrapText="1"/>
    </xf>
    <xf numFmtId="1" fontId="39" fillId="7" borderId="6" xfId="0" applyNumberFormat="1" applyFont="1" applyFill="1" applyBorder="1" applyAlignment="1">
      <alignment horizontal="center" vertical="top"/>
    </xf>
    <xf numFmtId="3" fontId="39" fillId="7" borderId="6" xfId="0" applyNumberFormat="1" applyFont="1" applyFill="1" applyBorder="1" applyAlignment="1">
      <alignment horizontal="center" vertical="top"/>
    </xf>
    <xf numFmtId="0" fontId="38" fillId="7" borderId="6" xfId="0" applyFont="1" applyFill="1" applyBorder="1" applyAlignment="1">
      <alignment horizontal="center" vertical="top"/>
    </xf>
    <xf numFmtId="0" fontId="14" fillId="7" borderId="6" xfId="0" applyFont="1" applyFill="1" applyBorder="1" applyAlignment="1">
      <alignment horizontal="left" vertical="top" wrapText="1"/>
    </xf>
    <xf numFmtId="0" fontId="39" fillId="26" borderId="0" xfId="0" applyFont="1" applyFill="1" applyAlignment="1">
      <alignment horizontal="center"/>
    </xf>
    <xf numFmtId="0" fontId="38" fillId="26" borderId="0" xfId="0" applyFont="1" applyFill="1" applyAlignment="1">
      <alignment horizontal="left" wrapText="1"/>
    </xf>
    <xf numFmtId="1" fontId="39" fillId="27" borderId="0" xfId="0" applyNumberFormat="1" applyFont="1" applyFill="1" applyAlignment="1">
      <alignment horizontal="center" vertical="top"/>
    </xf>
    <xf numFmtId="3" fontId="39" fillId="27" borderId="0" xfId="0" applyNumberFormat="1" applyFont="1" applyFill="1" applyAlignment="1">
      <alignment horizontal="center" vertical="top"/>
    </xf>
    <xf numFmtId="0" fontId="38" fillId="27" borderId="0" xfId="0" applyFont="1" applyFill="1" applyAlignment="1">
      <alignment horizontal="center" vertical="top"/>
    </xf>
    <xf numFmtId="0" fontId="38" fillId="27" borderId="0" xfId="0" applyFont="1" applyFill="1" applyAlignment="1">
      <alignment horizontal="left" vertical="top" wrapText="1"/>
    </xf>
    <xf numFmtId="1" fontId="38" fillId="28" borderId="0" xfId="0" applyNumberFormat="1" applyFont="1" applyFill="1" applyAlignment="1">
      <alignment horizontal="center" vertical="top"/>
    </xf>
    <xf numFmtId="0" fontId="38" fillId="28" borderId="0" xfId="0" applyFont="1" applyFill="1" applyAlignment="1">
      <alignment horizontal="center" vertical="top"/>
    </xf>
    <xf numFmtId="0" fontId="38" fillId="28" borderId="0" xfId="0" applyFont="1" applyFill="1" applyAlignment="1">
      <alignment horizontal="left" vertical="top" wrapText="1"/>
    </xf>
    <xf numFmtId="1" fontId="38" fillId="28" borderId="0" xfId="0" applyNumberFormat="1" applyFont="1" applyFill="1" applyAlignment="1">
      <alignment horizontal="center"/>
    </xf>
    <xf numFmtId="1" fontId="39" fillId="28" borderId="0" xfId="0" applyNumberFormat="1" applyFont="1" applyFill="1" applyAlignment="1">
      <alignment horizontal="center" vertical="top"/>
    </xf>
    <xf numFmtId="3" fontId="39" fillId="28" borderId="0" xfId="0" applyNumberFormat="1" applyFont="1" applyFill="1" applyAlignment="1">
      <alignment horizontal="center" vertical="top"/>
    </xf>
    <xf numFmtId="1" fontId="39" fillId="29" borderId="0" xfId="0" applyNumberFormat="1" applyFont="1" applyFill="1" applyAlignment="1">
      <alignment horizontal="center" vertical="top"/>
    </xf>
    <xf numFmtId="0" fontId="38" fillId="29" borderId="0" xfId="0" applyFont="1" applyFill="1" applyAlignment="1">
      <alignment horizontal="center" vertical="top"/>
    </xf>
    <xf numFmtId="3" fontId="39" fillId="29" borderId="0" xfId="0" applyNumberFormat="1" applyFont="1" applyFill="1" applyAlignment="1">
      <alignment horizontal="center" vertical="top"/>
    </xf>
    <xf numFmtId="0" fontId="39" fillId="29" borderId="0" xfId="0" applyFont="1" applyFill="1" applyAlignment="1">
      <alignment horizontal="center" vertical="top"/>
    </xf>
    <xf numFmtId="0" fontId="39" fillId="30" borderId="0" xfId="0" applyFont="1" applyFill="1" applyAlignment="1">
      <alignment horizontal="left" vertical="top"/>
    </xf>
    <xf numFmtId="0" fontId="39" fillId="30" borderId="0" xfId="0" applyFont="1" applyFill="1" applyAlignment="1">
      <alignment horizontal="center" vertical="top" wrapText="1"/>
    </xf>
    <xf numFmtId="0" fontId="38" fillId="30" borderId="0" xfId="0" applyFont="1" applyFill="1" applyAlignment="1">
      <alignment horizontal="left" vertical="top" wrapText="1"/>
    </xf>
    <xf numFmtId="1" fontId="39" fillId="29" borderId="38" xfId="0" applyNumberFormat="1" applyFont="1" applyFill="1" applyBorder="1" applyAlignment="1">
      <alignment horizontal="center" vertical="top"/>
    </xf>
    <xf numFmtId="1" fontId="39" fillId="29" borderId="34" xfId="0" applyNumberFormat="1" applyFont="1" applyFill="1" applyBorder="1" applyAlignment="1">
      <alignment horizontal="center" vertical="top"/>
    </xf>
    <xf numFmtId="3" fontId="39" fillId="29" borderId="34" xfId="0" applyNumberFormat="1" applyFont="1" applyFill="1" applyBorder="1" applyAlignment="1">
      <alignment horizontal="center" vertical="top"/>
    </xf>
    <xf numFmtId="0" fontId="38" fillId="29" borderId="16" xfId="0" applyFont="1" applyFill="1" applyBorder="1" applyAlignment="1">
      <alignment horizontal="center" vertical="top" wrapText="1"/>
    </xf>
    <xf numFmtId="1" fontId="39" fillId="13" borderId="0" xfId="0" applyNumberFormat="1" applyFont="1" applyFill="1" applyAlignment="1">
      <alignment horizontal="center" vertical="top"/>
    </xf>
    <xf numFmtId="1" fontId="38" fillId="13" borderId="0" xfId="0" applyNumberFormat="1" applyFont="1" applyFill="1" applyAlignment="1">
      <alignment horizontal="center" vertical="top"/>
    </xf>
    <xf numFmtId="1" fontId="40" fillId="0" borderId="0" xfId="0" applyNumberFormat="1" applyFont="1" applyAlignment="1">
      <alignment horizontal="center" vertical="top"/>
    </xf>
    <xf numFmtId="0" fontId="41" fillId="26" borderId="0" xfId="0" applyFont="1" applyFill="1" applyAlignment="1">
      <alignment vertical="top"/>
    </xf>
    <xf numFmtId="0" fontId="39" fillId="7" borderId="33" xfId="0" applyFont="1" applyFill="1" applyBorder="1" applyAlignment="1">
      <alignment horizontal="center" vertical="top"/>
    </xf>
    <xf numFmtId="0" fontId="38" fillId="7" borderId="33" xfId="0" applyFont="1" applyFill="1" applyBorder="1" applyAlignment="1">
      <alignment horizontal="center" vertical="top"/>
    </xf>
    <xf numFmtId="0" fontId="38" fillId="29" borderId="0" xfId="0" applyFont="1" applyFill="1" applyAlignment="1">
      <alignment horizontal="center" vertical="top" wrapText="1"/>
    </xf>
    <xf numFmtId="0" fontId="39" fillId="13" borderId="0" xfId="0" applyFont="1" applyFill="1" applyAlignment="1">
      <alignment horizontal="center" vertical="top"/>
    </xf>
    <xf numFmtId="0" fontId="14" fillId="0" borderId="0" xfId="0" applyFont="1" applyAlignment="1">
      <alignment horizontal="left" vertical="top" wrapText="1"/>
    </xf>
    <xf numFmtId="1" fontId="39" fillId="31" borderId="0" xfId="0" applyNumberFormat="1" applyFont="1" applyFill="1" applyAlignment="1">
      <alignment horizontal="center" vertical="top"/>
    </xf>
    <xf numFmtId="3" fontId="39" fillId="31" borderId="0" xfId="0" applyNumberFormat="1" applyFont="1" applyFill="1" applyAlignment="1">
      <alignment horizontal="center" vertical="top"/>
    </xf>
    <xf numFmtId="0" fontId="39" fillId="0" borderId="0" xfId="0" applyFont="1" applyAlignment="1">
      <alignment horizontal="center" vertical="top"/>
    </xf>
    <xf numFmtId="0" fontId="38" fillId="31" borderId="0" xfId="0" applyFont="1" applyFill="1" applyAlignment="1">
      <alignment horizontal="left" vertical="top" wrapText="1"/>
    </xf>
    <xf numFmtId="0" fontId="38" fillId="31" borderId="0" xfId="0" applyFont="1" applyFill="1" applyAlignment="1">
      <alignment horizontal="center" vertical="top"/>
    </xf>
    <xf numFmtId="0" fontId="39" fillId="31" borderId="0" xfId="0" applyFont="1" applyFill="1" applyAlignment="1">
      <alignment horizontal="center" vertical="top"/>
    </xf>
    <xf numFmtId="0" fontId="42" fillId="31" borderId="0" xfId="0" applyFont="1" applyFill="1" applyAlignment="1">
      <alignment horizontal="left" vertical="top" wrapText="1"/>
    </xf>
    <xf numFmtId="1" fontId="40" fillId="0" borderId="48" xfId="0" applyNumberFormat="1" applyFont="1" applyBorder="1" applyAlignment="1">
      <alignment vertical="top"/>
    </xf>
    <xf numFmtId="1" fontId="40" fillId="0" borderId="48" xfId="0" applyNumberFormat="1" applyFont="1" applyBorder="1" applyAlignment="1">
      <alignment horizontal="right" vertical="top"/>
    </xf>
    <xf numFmtId="0" fontId="41" fillId="26"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6" xfId="0" applyNumberFormat="1" applyFont="1" applyBorder="1"/>
    <xf numFmtId="1" fontId="40" fillId="0" borderId="0" xfId="0" applyNumberFormat="1" applyFont="1" applyAlignment="1">
      <alignment vertical="top"/>
    </xf>
    <xf numFmtId="1" fontId="40" fillId="0" borderId="0" xfId="0" applyNumberFormat="1" applyFont="1" applyAlignment="1">
      <alignment horizontal="right" vertical="top"/>
    </xf>
    <xf numFmtId="0" fontId="41" fillId="26" borderId="8" xfId="0" applyFont="1" applyFill="1" applyBorder="1" applyAlignment="1">
      <alignment vertical="top"/>
    </xf>
    <xf numFmtId="1" fontId="43" fillId="0" borderId="0" xfId="0" applyNumberFormat="1" applyFont="1"/>
    <xf numFmtId="1" fontId="38" fillId="31" borderId="0" xfId="0" applyNumberFormat="1" applyFont="1" applyFill="1" applyAlignment="1">
      <alignment horizontal="center"/>
    </xf>
    <xf numFmtId="0" fontId="39" fillId="26" borderId="0" xfId="0" applyFont="1" applyFill="1" applyAlignment="1">
      <alignment horizontal="center" vertical="center"/>
    </xf>
    <xf numFmtId="0" fontId="38" fillId="26" borderId="0" xfId="0" applyFont="1" applyFill="1" applyAlignment="1">
      <alignment horizontal="left" vertical="center" wrapText="1"/>
    </xf>
    <xf numFmtId="1" fontId="39" fillId="6" borderId="0" xfId="0" applyNumberFormat="1" applyFont="1" applyFill="1" applyAlignment="1">
      <alignment horizontal="center" vertical="top"/>
    </xf>
    <xf numFmtId="0" fontId="38" fillId="6" borderId="0" xfId="0" applyFont="1" applyFill="1" applyAlignment="1">
      <alignment horizontal="center" vertical="top"/>
    </xf>
    <xf numFmtId="0" fontId="43" fillId="0" borderId="0" xfId="0" applyFont="1"/>
    <xf numFmtId="0" fontId="4" fillId="7" borderId="0" xfId="0" applyFont="1" applyFill="1" applyAlignment="1">
      <alignment horizontal="left"/>
    </xf>
    <xf numFmtId="0" fontId="4" fillId="6" borderId="0" xfId="0" applyFont="1" applyFill="1" applyAlignment="1">
      <alignment horizontal="left"/>
    </xf>
    <xf numFmtId="0" fontId="4" fillId="8" borderId="0" xfId="0" applyFont="1" applyFill="1" applyAlignment="1">
      <alignment horizontal="left"/>
    </xf>
    <xf numFmtId="0" fontId="4" fillId="32" borderId="0" xfId="0" applyFont="1" applyFill="1" applyAlignment="1">
      <alignment horizontal="left"/>
    </xf>
    <xf numFmtId="0" fontId="4" fillId="29" borderId="0" xfId="0" applyFont="1" applyFill="1" applyAlignment="1">
      <alignment horizontal="left"/>
    </xf>
    <xf numFmtId="0" fontId="4" fillId="3" borderId="0" xfId="0" applyFont="1" applyFill="1" applyAlignment="1">
      <alignment horizontal="left"/>
    </xf>
    <xf numFmtId="169" fontId="43" fillId="0" borderId="0" xfId="0" applyNumberFormat="1" applyFont="1"/>
    <xf numFmtId="2" fontId="43" fillId="0" borderId="0" xfId="0" applyNumberFormat="1" applyFont="1"/>
    <xf numFmtId="0" fontId="44" fillId="0" borderId="0" xfId="0" applyFont="1"/>
    <xf numFmtId="0" fontId="3" fillId="2" borderId="0" xfId="0" applyFont="1" applyFill="1" applyAlignment="1">
      <alignment horizontal="left" indent="2"/>
    </xf>
    <xf numFmtId="0" fontId="3" fillId="2" borderId="0" xfId="0" applyFont="1" applyFill="1" applyAlignment="1">
      <alignment horizontal="right"/>
    </xf>
    <xf numFmtId="0" fontId="45" fillId="0" borderId="0" xfId="0" applyFont="1" applyAlignment="1">
      <alignment horizontal="left" vertical="top"/>
    </xf>
    <xf numFmtId="0" fontId="12" fillId="0" borderId="0" xfId="0" applyFont="1" applyAlignment="1">
      <alignment horizontal="left"/>
    </xf>
    <xf numFmtId="0" fontId="46" fillId="0" borderId="0" xfId="0" applyFont="1"/>
    <xf numFmtId="0" fontId="12" fillId="33" borderId="0" xfId="0" applyFont="1" applyFill="1"/>
    <xf numFmtId="0" fontId="12" fillId="33" borderId="0" xfId="0" applyFont="1" applyFill="1" applyAlignment="1">
      <alignment horizontal="left"/>
    </xf>
    <xf numFmtId="0" fontId="3" fillId="33" borderId="0" xfId="0" applyFont="1" applyFill="1" applyAlignment="1">
      <alignment horizontal="left" indent="2"/>
    </xf>
    <xf numFmtId="0" fontId="3" fillId="33" borderId="0" xfId="0" applyFont="1" applyFill="1" applyAlignment="1">
      <alignment horizontal="right"/>
    </xf>
    <xf numFmtId="0" fontId="47" fillId="0" borderId="0" xfId="0" applyFont="1" applyAlignment="1">
      <alignment horizontal="right" vertical="top"/>
    </xf>
    <xf numFmtId="3" fontId="33" fillId="0" borderId="0" xfId="0" applyNumberFormat="1" applyFont="1"/>
    <xf numFmtId="3" fontId="48" fillId="0" borderId="0" xfId="0" applyNumberFormat="1" applyFont="1" applyAlignment="1">
      <alignment horizontal="right" vertical="top"/>
    </xf>
    <xf numFmtId="0" fontId="49" fillId="35" borderId="0" xfId="0" applyFont="1" applyFill="1" applyAlignment="1">
      <alignment horizontal="right"/>
    </xf>
    <xf numFmtId="0" fontId="50" fillId="0" borderId="0" xfId="0" applyFont="1"/>
    <xf numFmtId="0" fontId="39" fillId="0" borderId="0" xfId="0" applyFont="1" applyAlignment="1">
      <alignment horizontal="right"/>
    </xf>
    <xf numFmtId="165" fontId="51" fillId="0" borderId="0" xfId="0" applyNumberFormat="1" applyFont="1" applyAlignment="1">
      <alignment horizontal="right" vertical="top"/>
    </xf>
    <xf numFmtId="165" fontId="49" fillId="35" borderId="0" xfId="0" applyNumberFormat="1" applyFont="1" applyFill="1" applyAlignment="1">
      <alignment horizontal="right"/>
    </xf>
    <xf numFmtId="3" fontId="7" fillId="0" borderId="0" xfId="0" applyNumberFormat="1" applyFont="1"/>
    <xf numFmtId="165" fontId="39" fillId="0" borderId="0" xfId="0" applyNumberFormat="1" applyFont="1" applyAlignment="1">
      <alignment horizontal="right"/>
    </xf>
    <xf numFmtId="3" fontId="39"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5"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3" fillId="38" borderId="0" xfId="0" applyFont="1" applyFill="1"/>
    <xf numFmtId="0" fontId="7" fillId="38" borderId="0" xfId="0" applyFont="1" applyFill="1"/>
    <xf numFmtId="0" fontId="52"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2" fillId="0" borderId="0" xfId="0" applyFont="1"/>
    <xf numFmtId="1" fontId="8" fillId="0" borderId="0" xfId="0" applyNumberFormat="1" applyFont="1" applyAlignment="1">
      <alignment vertical="top"/>
    </xf>
    <xf numFmtId="0" fontId="7" fillId="0" borderId="0" xfId="0" applyFont="1" applyAlignment="1">
      <alignment horizontal="right"/>
    </xf>
    <xf numFmtId="0" fontId="33" fillId="0" borderId="0" xfId="0" applyFont="1" applyAlignment="1">
      <alignment horizontal="right"/>
    </xf>
    <xf numFmtId="0" fontId="1" fillId="12" borderId="0" xfId="0" applyFont="1" applyFill="1" applyAlignment="1">
      <alignment wrapText="1"/>
    </xf>
    <xf numFmtId="0" fontId="8" fillId="12" borderId="0" xfId="0" applyFont="1" applyFill="1" applyAlignment="1">
      <alignment vertical="top"/>
    </xf>
    <xf numFmtId="0" fontId="8" fillId="12"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3" fillId="12" borderId="0" xfId="0" applyFont="1" applyFill="1" applyAlignment="1">
      <alignment horizontal="right"/>
    </xf>
    <xf numFmtId="0" fontId="7" fillId="12" borderId="0" xfId="0" applyFont="1" applyFill="1" applyAlignment="1">
      <alignment horizontal="right"/>
    </xf>
    <xf numFmtId="0" fontId="49" fillId="0" borderId="0" xfId="0" applyFont="1"/>
    <xf numFmtId="170" fontId="47" fillId="0" borderId="0" xfId="0" applyNumberFormat="1" applyFont="1" applyAlignment="1">
      <alignment horizontal="right" vertical="top"/>
    </xf>
    <xf numFmtId="1" fontId="7" fillId="0" borderId="0" xfId="0" applyNumberFormat="1" applyFont="1"/>
    <xf numFmtId="0" fontId="33" fillId="43" borderId="0" xfId="0" applyFont="1" applyFill="1" applyAlignment="1">
      <alignment wrapText="1"/>
    </xf>
    <xf numFmtId="0" fontId="1" fillId="43" borderId="0" xfId="0" applyFont="1" applyFill="1"/>
    <xf numFmtId="0" fontId="3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5"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5" fillId="0" borderId="0" xfId="0" applyFont="1" applyAlignment="1">
      <alignment horizontal="center" wrapText="1"/>
    </xf>
    <xf numFmtId="0" fontId="7" fillId="14" borderId="0" xfId="0" applyFont="1" applyFill="1"/>
    <xf numFmtId="0" fontId="21" fillId="7" borderId="1" xfId="0" applyFont="1" applyFill="1" applyBorder="1" applyAlignment="1">
      <alignment horizontal="left" indent="2"/>
    </xf>
    <xf numFmtId="168" fontId="60" fillId="9" borderId="17" xfId="0" applyNumberFormat="1" applyFont="1" applyFill="1" applyBorder="1" applyAlignment="1">
      <alignment horizontal="center"/>
    </xf>
    <xf numFmtId="165" fontId="62" fillId="9" borderId="19" xfId="1" applyNumberFormat="1" applyFont="1" applyFill="1" applyBorder="1" applyAlignment="1">
      <alignment horizontal="right"/>
    </xf>
    <xf numFmtId="165" fontId="62" fillId="9" borderId="20" xfId="1" applyNumberFormat="1" applyFont="1" applyFill="1" applyBorder="1" applyAlignment="1">
      <alignment horizontal="right"/>
    </xf>
    <xf numFmtId="165" fontId="60" fillId="9" borderId="20" xfId="1" applyNumberFormat="1" applyFont="1" applyFill="1" applyBorder="1" applyAlignment="1">
      <alignment horizontal="right"/>
    </xf>
    <xf numFmtId="3" fontId="60" fillId="9" borderId="20" xfId="1" applyNumberFormat="1" applyFont="1" applyFill="1" applyBorder="1" applyAlignment="1">
      <alignment horizontal="right"/>
    </xf>
    <xf numFmtId="3" fontId="60" fillId="9" borderId="21" xfId="1" applyNumberFormat="1" applyFont="1" applyFill="1" applyBorder="1" applyAlignment="1">
      <alignment horizontal="right"/>
    </xf>
    <xf numFmtId="0" fontId="0" fillId="9" borderId="0" xfId="0" applyFill="1"/>
    <xf numFmtId="165" fontId="62" fillId="9" borderId="18" xfId="1" applyNumberFormat="1" applyFont="1" applyFill="1" applyBorder="1" applyAlignment="1">
      <alignment horizontal="right"/>
    </xf>
    <xf numFmtId="165" fontId="62" fillId="9" borderId="0" xfId="1" applyNumberFormat="1" applyFont="1" applyFill="1" applyAlignment="1">
      <alignment horizontal="right"/>
    </xf>
    <xf numFmtId="165" fontId="60" fillId="9" borderId="0" xfId="1" applyNumberFormat="1" applyFont="1" applyFill="1" applyAlignment="1">
      <alignment horizontal="right"/>
    </xf>
    <xf numFmtId="3" fontId="60" fillId="9" borderId="0" xfId="1" applyNumberFormat="1" applyFont="1" applyFill="1" applyAlignment="1">
      <alignment horizontal="right"/>
    </xf>
    <xf numFmtId="3" fontId="60" fillId="9" borderId="15" xfId="1" applyNumberFormat="1" applyFont="1" applyFill="1" applyBorder="1" applyAlignment="1">
      <alignment horizontal="right"/>
    </xf>
    <xf numFmtId="17" fontId="12" fillId="9" borderId="0" xfId="0" applyNumberFormat="1" applyFont="1" applyFill="1" applyAlignment="1">
      <alignment horizontal="left" wrapText="1"/>
    </xf>
    <xf numFmtId="168" fontId="60" fillId="10" borderId="17" xfId="0" applyNumberFormat="1" applyFont="1" applyFill="1" applyBorder="1" applyAlignment="1">
      <alignment horizontal="center"/>
    </xf>
    <xf numFmtId="165" fontId="62" fillId="10" borderId="18" xfId="1" applyNumberFormat="1" applyFont="1" applyFill="1" applyBorder="1" applyAlignment="1">
      <alignment horizontal="right"/>
    </xf>
    <xf numFmtId="165" fontId="62" fillId="10" borderId="0" xfId="1" applyNumberFormat="1" applyFont="1" applyFill="1" applyAlignment="1">
      <alignment horizontal="right"/>
    </xf>
    <xf numFmtId="165" fontId="60" fillId="10" borderId="0" xfId="1" applyNumberFormat="1" applyFont="1" applyFill="1" applyAlignment="1">
      <alignment horizontal="right"/>
    </xf>
    <xf numFmtId="3" fontId="60" fillId="10" borderId="0" xfId="1" applyNumberFormat="1" applyFont="1" applyFill="1" applyAlignment="1">
      <alignment horizontal="right"/>
    </xf>
    <xf numFmtId="3" fontId="60" fillId="10" borderId="15" xfId="1" applyNumberFormat="1" applyFont="1" applyFill="1" applyBorder="1" applyAlignment="1">
      <alignment horizontal="right"/>
    </xf>
    <xf numFmtId="0" fontId="0" fillId="10" borderId="0" xfId="0" applyFill="1"/>
    <xf numFmtId="165" fontId="62" fillId="10" borderId="22" xfId="1" applyNumberFormat="1" applyFont="1" applyFill="1" applyBorder="1" applyAlignment="1">
      <alignment horizontal="right"/>
    </xf>
    <xf numFmtId="165" fontId="62" fillId="10" borderId="23" xfId="1" applyNumberFormat="1" applyFont="1" applyFill="1" applyBorder="1" applyAlignment="1">
      <alignment horizontal="right"/>
    </xf>
    <xf numFmtId="165" fontId="60" fillId="10" borderId="23" xfId="1" applyNumberFormat="1" applyFont="1" applyFill="1" applyBorder="1" applyAlignment="1">
      <alignment horizontal="right"/>
    </xf>
    <xf numFmtId="3" fontId="60" fillId="10" borderId="23" xfId="1" applyNumberFormat="1" applyFont="1" applyFill="1" applyBorder="1" applyAlignment="1">
      <alignment horizontal="right"/>
    </xf>
    <xf numFmtId="3" fontId="60" fillId="10" borderId="24" xfId="1" applyNumberFormat="1" applyFont="1" applyFill="1" applyBorder="1" applyAlignment="1">
      <alignment horizontal="right"/>
    </xf>
    <xf numFmtId="17" fontId="12" fillId="10" borderId="0" xfId="0" applyNumberFormat="1" applyFont="1" applyFill="1" applyAlignment="1">
      <alignment horizontal="left" wrapText="1"/>
    </xf>
    <xf numFmtId="168" fontId="60" fillId="11" borderId="17" xfId="0" applyNumberFormat="1" applyFont="1" applyFill="1" applyBorder="1" applyAlignment="1">
      <alignment horizontal="center"/>
    </xf>
    <xf numFmtId="165" fontId="62" fillId="11" borderId="18" xfId="1" applyNumberFormat="1" applyFont="1" applyFill="1" applyBorder="1" applyAlignment="1">
      <alignment horizontal="right"/>
    </xf>
    <xf numFmtId="165" fontId="62" fillId="11" borderId="0" xfId="1" applyNumberFormat="1" applyFont="1" applyFill="1" applyAlignment="1">
      <alignment horizontal="right"/>
    </xf>
    <xf numFmtId="165" fontId="60" fillId="11" borderId="0" xfId="1" applyNumberFormat="1" applyFont="1" applyFill="1" applyAlignment="1">
      <alignment horizontal="right"/>
    </xf>
    <xf numFmtId="3" fontId="60" fillId="11" borderId="0" xfId="1" applyNumberFormat="1" applyFont="1" applyFill="1" applyAlignment="1">
      <alignment horizontal="right"/>
    </xf>
    <xf numFmtId="3" fontId="60" fillId="11" borderId="15" xfId="1" applyNumberFormat="1" applyFont="1" applyFill="1" applyBorder="1" applyAlignment="1">
      <alignment horizontal="right"/>
    </xf>
    <xf numFmtId="0" fontId="0" fillId="11" borderId="0" xfId="0"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4"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4"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6" xfId="0" applyFont="1" applyBorder="1" applyAlignment="1">
      <alignment horizontal="left" wrapText="1"/>
    </xf>
    <xf numFmtId="0" fontId="7" fillId="0" borderId="4"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168" fontId="13" fillId="0" borderId="0" xfId="0" applyNumberFormat="1" applyFont="1" applyAlignment="1">
      <alignment horizontal="center"/>
    </xf>
    <xf numFmtId="0" fontId="4" fillId="0" borderId="25" xfId="0" applyFont="1" applyBorder="1" applyAlignment="1">
      <alignment horizontal="center"/>
    </xf>
    <xf numFmtId="168" fontId="1" fillId="0" borderId="22"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24" xfId="0" applyNumberFormat="1" applyFont="1" applyBorder="1" applyAlignment="1">
      <alignment horizontal="center" vertic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8" xfId="0" applyNumberFormat="1" applyFont="1" applyBorder="1" applyAlignment="1">
      <alignment horizontal="left" indent="1"/>
    </xf>
    <xf numFmtId="0" fontId="1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3" fillId="13" borderId="1" xfId="0" applyFont="1" applyFill="1" applyBorder="1" applyAlignment="1">
      <alignment horizontal="center"/>
    </xf>
    <xf numFmtId="0" fontId="3" fillId="13" borderId="0" xfId="0" applyFont="1" applyFill="1" applyAlignment="1">
      <alignment horizontal="center"/>
    </xf>
    <xf numFmtId="0" fontId="3" fillId="13" borderId="3" xfId="0" applyFont="1" applyFill="1" applyBorder="1" applyAlignment="1">
      <alignment horizontal="center"/>
    </xf>
    <xf numFmtId="0" fontId="12" fillId="13" borderId="5" xfId="0" applyFont="1" applyFill="1" applyBorder="1" applyAlignment="1">
      <alignment horizontal="center"/>
    </xf>
    <xf numFmtId="0" fontId="12" fillId="13" borderId="4" xfId="0" applyFont="1" applyFill="1" applyBorder="1" applyAlignment="1">
      <alignment horizontal="center"/>
    </xf>
    <xf numFmtId="0" fontId="12" fillId="13" borderId="1" xfId="0" applyFont="1" applyFill="1" applyBorder="1" applyAlignment="1">
      <alignment horizontal="center"/>
    </xf>
    <xf numFmtId="0" fontId="12" fillId="13" borderId="3" xfId="0" applyFont="1" applyFill="1" applyBorder="1" applyAlignment="1">
      <alignment horizontal="center"/>
    </xf>
    <xf numFmtId="0" fontId="12" fillId="13" borderId="7" xfId="0" applyFont="1" applyFill="1" applyBorder="1" applyAlignment="1">
      <alignment horizontal="center"/>
    </xf>
    <xf numFmtId="0" fontId="12" fillId="13" borderId="2" xfId="0" applyFont="1" applyFill="1" applyBorder="1" applyAlignment="1">
      <alignment horizontal="center"/>
    </xf>
    <xf numFmtId="0" fontId="3" fillId="8" borderId="5" xfId="0" applyFont="1" applyFill="1" applyBorder="1" applyAlignment="1">
      <alignment horizontal="center"/>
    </xf>
    <xf numFmtId="0" fontId="3" fillId="8" borderId="33" xfId="0" applyFont="1" applyFill="1" applyBorder="1" applyAlignment="1">
      <alignment horizontal="center"/>
    </xf>
    <xf numFmtId="0" fontId="3" fillId="8" borderId="4" xfId="0" applyFont="1" applyFill="1" applyBorder="1" applyAlignment="1">
      <alignment horizontal="center"/>
    </xf>
    <xf numFmtId="0" fontId="3" fillId="13" borderId="5" xfId="0" applyFont="1" applyFill="1" applyBorder="1" applyAlignment="1">
      <alignment horizontal="center"/>
    </xf>
    <xf numFmtId="0" fontId="3" fillId="13" borderId="6" xfId="0" applyFont="1" applyFill="1" applyBorder="1" applyAlignment="1">
      <alignment horizontal="center"/>
    </xf>
    <xf numFmtId="0" fontId="3" fillId="13" borderId="4" xfId="0" applyFont="1" applyFill="1" applyBorder="1" applyAlignment="1">
      <alignment horizontal="center"/>
    </xf>
    <xf numFmtId="0" fontId="3" fillId="13" borderId="0" xfId="0" applyFont="1" applyFill="1" applyAlignment="1">
      <alignment horizontal="right"/>
    </xf>
    <xf numFmtId="0" fontId="12" fillId="8" borderId="5" xfId="0" applyFont="1" applyFill="1" applyBorder="1" applyAlignment="1">
      <alignment horizontal="center"/>
    </xf>
    <xf numFmtId="0" fontId="12" fillId="8" borderId="33" xfId="0" applyFont="1" applyFill="1" applyBorder="1" applyAlignment="1">
      <alignment horizontal="center"/>
    </xf>
    <xf numFmtId="0" fontId="12" fillId="8" borderId="34" xfId="0" applyFont="1" applyFill="1" applyBorder="1" applyAlignment="1">
      <alignment horizontal="center"/>
    </xf>
    <xf numFmtId="0" fontId="12" fillId="8" borderId="4" xfId="0" applyFont="1" applyFill="1" applyBorder="1" applyAlignment="1">
      <alignment horizontal="center"/>
    </xf>
    <xf numFmtId="0" fontId="12" fillId="13" borderId="8" xfId="0" applyFont="1" applyFill="1" applyBorder="1" applyAlignment="1">
      <alignment horizontal="center"/>
    </xf>
    <xf numFmtId="0" fontId="12" fillId="13" borderId="0" xfId="0" applyFont="1" applyFill="1" applyAlignment="1">
      <alignment horizontal="center"/>
    </xf>
    <xf numFmtId="0" fontId="3" fillId="8" borderId="6"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3" fillId="13" borderId="5" xfId="0" applyFont="1" applyFill="1" applyBorder="1" applyAlignment="1">
      <alignment horizontal="right"/>
    </xf>
    <xf numFmtId="0" fontId="3" fillId="13" borderId="33" xfId="0" applyFont="1" applyFill="1" applyBorder="1" applyAlignment="1">
      <alignment horizontal="right"/>
    </xf>
    <xf numFmtId="0" fontId="12" fillId="8" borderId="7" xfId="0" applyFont="1" applyFill="1" applyBorder="1" applyAlignment="1">
      <alignment horizontal="center"/>
    </xf>
    <xf numFmtId="0" fontId="12" fillId="8" borderId="8"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3" fillId="0" borderId="3" xfId="0" applyFont="1" applyBorder="1" applyAlignment="1">
      <alignment horizontal="center"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1" borderId="38" xfId="0" applyFont="1" applyFill="1" applyBorder="1" applyAlignment="1">
      <alignment horizontal="center" vertical="center" wrapText="1"/>
    </xf>
    <xf numFmtId="0" fontId="12" fillId="11" borderId="34"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11" borderId="33"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13" borderId="33" xfId="0" applyFont="1" applyFill="1" applyBorder="1" applyAlignment="1">
      <alignment horizontal="center"/>
    </xf>
    <xf numFmtId="0" fontId="3" fillId="3" borderId="14" xfId="0" applyFont="1" applyFill="1" applyBorder="1" applyAlignment="1">
      <alignment horizontal="center" wrapText="1"/>
    </xf>
    <xf numFmtId="0" fontId="3" fillId="3" borderId="3"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12" fillId="8" borderId="38" xfId="0" applyFont="1" applyFill="1" applyBorder="1" applyAlignment="1">
      <alignment horizontal="center"/>
    </xf>
    <xf numFmtId="0" fontId="12" fillId="8" borderId="16" xfId="0" applyFont="1" applyFill="1" applyBorder="1" applyAlignment="1">
      <alignment horizontal="center"/>
    </xf>
    <xf numFmtId="0" fontId="12" fillId="0" borderId="0" xfId="0" applyFont="1" applyAlignment="1">
      <alignment horizontal="left" wrapText="1"/>
    </xf>
    <xf numFmtId="0" fontId="12" fillId="13" borderId="6" xfId="0" applyFont="1" applyFill="1" applyBorder="1" applyAlignment="1">
      <alignment horizontal="center"/>
    </xf>
    <xf numFmtId="0" fontId="12" fillId="13" borderId="5" xfId="0" applyFont="1" applyFill="1" applyBorder="1" applyAlignment="1">
      <alignment horizontal="center" vertical="center"/>
    </xf>
    <xf numFmtId="0" fontId="12" fillId="13" borderId="4"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3" xfId="0" applyFont="1" applyFill="1" applyBorder="1" applyAlignment="1">
      <alignment horizontal="center" vertical="center"/>
    </xf>
    <xf numFmtId="0" fontId="3" fillId="13" borderId="5"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3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8" xfId="0" applyFont="1" applyFill="1" applyBorder="1" applyAlignment="1">
      <alignment horizontal="center" vertical="center"/>
    </xf>
    <xf numFmtId="0" fontId="12" fillId="13" borderId="0" xfId="0" applyFont="1" applyFill="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11" borderId="1" xfId="0" applyFont="1" applyFill="1" applyBorder="1" applyAlignment="1">
      <alignment horizontal="left" vertical="top" wrapText="1" indent="3"/>
    </xf>
    <xf numFmtId="0" fontId="3" fillId="11" borderId="0" xfId="0" applyFont="1" applyFill="1" applyAlignment="1">
      <alignment horizontal="left" vertical="top" wrapText="1" indent="3"/>
    </xf>
    <xf numFmtId="0" fontId="3" fillId="11" borderId="3"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4" xfId="0" applyFont="1" applyBorder="1" applyAlignment="1">
      <alignment horizontal="left" wrapText="1" indent="3"/>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1" borderId="1" xfId="0" applyFont="1" applyFill="1" applyBorder="1" applyAlignment="1">
      <alignment horizontal="left" wrapText="1" indent="3"/>
    </xf>
    <xf numFmtId="0" fontId="3" fillId="11" borderId="0" xfId="0" applyFont="1" applyFill="1" applyAlignment="1">
      <alignment horizontal="left" wrapText="1" indent="3"/>
    </xf>
    <xf numFmtId="0" fontId="3" fillId="11"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23" fillId="0" borderId="0" xfId="0" applyFont="1" applyAlignment="1">
      <alignment horizontal="left" vertical="top" wrapText="1"/>
    </xf>
    <xf numFmtId="0" fontId="12" fillId="0" borderId="0" xfId="0" applyFont="1" applyAlignment="1">
      <alignment horizontal="center" vertical="top" wrapText="1"/>
    </xf>
    <xf numFmtId="0" fontId="25" fillId="0" borderId="0" xfId="0" applyFont="1" applyAlignment="1">
      <alignment horizontal="left" vertical="top" wrapText="1"/>
    </xf>
    <xf numFmtId="0" fontId="3" fillId="13" borderId="6" xfId="0" applyFont="1" applyFill="1" applyBorder="1" applyAlignment="1">
      <alignment horizontal="right"/>
    </xf>
    <xf numFmtId="0" fontId="1" fillId="0" borderId="0" xfId="0" applyFont="1" applyAlignment="1">
      <alignment horizontal="center" wrapText="1"/>
    </xf>
    <xf numFmtId="0" fontId="12" fillId="0" borderId="5" xfId="0" applyFont="1" applyBorder="1" applyAlignment="1">
      <alignment horizontal="center"/>
    </xf>
    <xf numFmtId="0" fontId="12" fillId="0" borderId="6" xfId="0" applyFont="1" applyBorder="1" applyAlignment="1">
      <alignment horizontal="center"/>
    </xf>
    <xf numFmtId="0" fontId="3" fillId="0" borderId="8" xfId="0" applyFont="1" applyBorder="1" applyAlignment="1">
      <alignment horizontal="left" vertical="top" wrapText="1"/>
    </xf>
    <xf numFmtId="0" fontId="12" fillId="13" borderId="5" xfId="0" applyFont="1" applyFill="1" applyBorder="1" applyAlignment="1">
      <alignment horizontal="center" wrapText="1"/>
    </xf>
    <xf numFmtId="0" fontId="12" fillId="13" borderId="4"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12" fillId="11" borderId="0" xfId="0" applyFont="1" applyFill="1" applyAlignment="1">
      <alignment horizontal="center"/>
    </xf>
    <xf numFmtId="0" fontId="12" fillId="13" borderId="16" xfId="0" applyFont="1" applyFill="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0" fontId="12" fillId="13" borderId="7" xfId="0" applyFont="1" applyFill="1" applyBorder="1" applyAlignment="1">
      <alignment horizontal="center" wrapText="1"/>
    </xf>
    <xf numFmtId="0" fontId="12" fillId="13" borderId="8" xfId="0" applyFont="1" applyFill="1" applyBorder="1" applyAlignment="1">
      <alignment horizontal="center" wrapText="1"/>
    </xf>
    <xf numFmtId="0" fontId="12" fillId="13" borderId="2" xfId="0" applyFont="1" applyFill="1" applyBorder="1" applyAlignment="1">
      <alignment horizontal="center" wrapText="1"/>
    </xf>
    <xf numFmtId="0" fontId="12" fillId="0" borderId="4" xfId="0" applyFont="1" applyBorder="1" applyAlignment="1">
      <alignment horizontal="center"/>
    </xf>
    <xf numFmtId="0" fontId="12" fillId="0" borderId="1" xfId="0" applyFont="1" applyBorder="1" applyAlignment="1">
      <alignment horizontal="center"/>
    </xf>
    <xf numFmtId="0" fontId="12" fillId="0" borderId="3" xfId="0" applyFont="1" applyBorder="1" applyAlignment="1">
      <alignment horizontal="center"/>
    </xf>
    <xf numFmtId="0" fontId="5" fillId="0" borderId="8" xfId="0" applyFont="1" applyBorder="1" applyAlignment="1">
      <alignment horizontal="center"/>
    </xf>
    <xf numFmtId="0" fontId="5" fillId="0" borderId="0" xfId="0" applyFont="1" applyAlignment="1">
      <alignment horizontal="center"/>
    </xf>
    <xf numFmtId="0" fontId="12" fillId="0" borderId="7" xfId="0"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2" fillId="17" borderId="7" xfId="0" applyFont="1" applyFill="1" applyBorder="1" applyAlignment="1">
      <alignment horizontal="center"/>
    </xf>
    <xf numFmtId="0" fontId="2" fillId="17" borderId="8" xfId="0" applyFont="1" applyFill="1" applyBorder="1" applyAlignment="1">
      <alignment horizontal="center"/>
    </xf>
    <xf numFmtId="0" fontId="2" fillId="17" borderId="2" xfId="0" applyFont="1" applyFill="1" applyBorder="1" applyAlignment="1">
      <alignment horizontal="center"/>
    </xf>
    <xf numFmtId="0" fontId="17" fillId="0" borderId="8" xfId="0" applyFont="1" applyBorder="1" applyAlignment="1">
      <alignment horizontal="left" vertical="top" wrapText="1"/>
    </xf>
    <xf numFmtId="0" fontId="17" fillId="0" borderId="7" xfId="0" applyFont="1" applyBorder="1" applyAlignment="1">
      <alignment horizontal="center"/>
    </xf>
    <xf numFmtId="0" fontId="17" fillId="0" borderId="8" xfId="0" applyFont="1" applyBorder="1" applyAlignment="1">
      <alignment horizontal="center"/>
    </xf>
    <xf numFmtId="0" fontId="17" fillId="0" borderId="2" xfId="0" applyFont="1" applyBorder="1" applyAlignment="1">
      <alignment horizontal="center"/>
    </xf>
    <xf numFmtId="0" fontId="1" fillId="0" borderId="0" xfId="0" applyFont="1" applyAlignment="1">
      <alignment horizontal="left" vertical="top" wrapText="1"/>
    </xf>
    <xf numFmtId="0" fontId="4" fillId="13" borderId="5" xfId="0" applyFont="1" applyFill="1" applyBorder="1" applyAlignment="1">
      <alignment horizontal="center" wrapText="1"/>
    </xf>
    <xf numFmtId="0" fontId="4" fillId="13" borderId="6" xfId="0" applyFont="1" applyFill="1" applyBorder="1" applyAlignment="1">
      <alignment horizontal="center" wrapText="1"/>
    </xf>
    <xf numFmtId="0" fontId="4" fillId="13" borderId="1" xfId="0" applyFont="1" applyFill="1" applyBorder="1" applyAlignment="1">
      <alignment horizontal="center" wrapText="1"/>
    </xf>
    <xf numFmtId="0" fontId="4" fillId="13" borderId="0" xfId="0" applyFont="1" applyFill="1" applyAlignment="1">
      <alignment horizontal="center" wrapText="1"/>
    </xf>
    <xf numFmtId="0" fontId="1" fillId="13" borderId="5" xfId="0" applyFont="1" applyFill="1" applyBorder="1" applyAlignment="1">
      <alignment horizontal="center"/>
    </xf>
    <xf numFmtId="0" fontId="1" fillId="13" borderId="6" xfId="0" applyFont="1" applyFill="1" applyBorder="1" applyAlignment="1">
      <alignment horizontal="center"/>
    </xf>
    <xf numFmtId="0" fontId="1" fillId="13" borderId="5" xfId="0" applyFont="1" applyFill="1" applyBorder="1" applyAlignment="1">
      <alignment horizontal="center" wrapText="1"/>
    </xf>
    <xf numFmtId="0" fontId="1" fillId="13" borderId="6" xfId="0" applyFont="1" applyFill="1" applyBorder="1" applyAlignment="1">
      <alignment horizontal="center" wrapText="1"/>
    </xf>
    <xf numFmtId="0" fontId="1" fillId="13" borderId="4" xfId="0" applyFont="1" applyFill="1" applyBorder="1" applyAlignment="1">
      <alignment horizontal="center" wrapText="1"/>
    </xf>
    <xf numFmtId="0" fontId="36" fillId="13" borderId="5" xfId="0" applyFont="1" applyFill="1" applyBorder="1" applyAlignment="1">
      <alignment horizontal="center"/>
    </xf>
    <xf numFmtId="0" fontId="36" fillId="13" borderId="6" xfId="0" applyFont="1" applyFill="1" applyBorder="1" applyAlignment="1">
      <alignment horizontal="center"/>
    </xf>
    <xf numFmtId="0" fontId="36" fillId="13" borderId="4" xfId="0" applyFont="1" applyFill="1" applyBorder="1" applyAlignment="1">
      <alignment horizontal="center"/>
    </xf>
    <xf numFmtId="0" fontId="1" fillId="13" borderId="33" xfId="0" applyFont="1" applyFill="1" applyBorder="1" applyAlignment="1">
      <alignment horizontal="center"/>
    </xf>
    <xf numFmtId="0" fontId="1" fillId="13" borderId="4"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12" borderId="0" xfId="0" applyFont="1" applyFill="1" applyAlignment="1">
      <alignment horizontal="left" vertical="top" wrapText="1"/>
    </xf>
    <xf numFmtId="1" fontId="40" fillId="0" borderId="49" xfId="0" applyNumberFormat="1" applyFont="1" applyBorder="1" applyAlignment="1">
      <alignment horizontal="center" vertical="top"/>
    </xf>
    <xf numFmtId="1" fontId="40" fillId="0" borderId="0" xfId="0" applyNumberFormat="1" applyFont="1" applyAlignment="1">
      <alignment horizontal="center" vertical="top"/>
    </xf>
    <xf numFmtId="1" fontId="40" fillId="0" borderId="38" xfId="0" applyNumberFormat="1" applyFont="1" applyBorder="1" applyAlignment="1">
      <alignment horizontal="center" vertical="top"/>
    </xf>
    <xf numFmtId="1" fontId="40" fillId="0" borderId="34" xfId="0" applyNumberFormat="1" applyFont="1" applyBorder="1" applyAlignment="1">
      <alignment horizontal="center" vertical="top"/>
    </xf>
    <xf numFmtId="1" fontId="40" fillId="0" borderId="16"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12"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xf numFmtId="10" fontId="33" fillId="13" borderId="0" xfId="0" applyNumberFormat="1" applyFont="1" applyFill="1" applyBorder="1" applyAlignment="1">
      <alignment horizontal="center"/>
    </xf>
    <xf numFmtId="10" fontId="0" fillId="9" borderId="0" xfId="2" applyNumberFormat="1" applyFont="1" applyFill="1"/>
    <xf numFmtId="0" fontId="90" fillId="75" borderId="0" xfId="0" applyFont="1" applyFill="1" applyAlignment="1">
      <alignment horizontal="right" vertical="center"/>
    </xf>
    <xf numFmtId="0" fontId="2" fillId="0" borderId="0" xfId="0" applyFont="1" applyBorder="1" applyAlignment="1">
      <alignment horizontal="left"/>
    </xf>
    <xf numFmtId="10" fontId="33" fillId="0" borderId="0" xfId="2" applyNumberFormat="1" applyFont="1" applyBorder="1" applyAlignment="1">
      <alignment horizontal="center"/>
    </xf>
    <xf numFmtId="10" fontId="33" fillId="0" borderId="0" xfId="0" applyNumberFormat="1" applyFont="1" applyBorder="1" applyAlignment="1">
      <alignment horizontal="center"/>
    </xf>
  </cellXfs>
  <cellStyles count="902">
    <cellStyle name="20% - Accent1 2" xfId="218" xr:uid="{387A0F53-D6CB-40FB-8039-60B3933DA9C9}"/>
    <cellStyle name="20% - Accent2 2" xfId="219" xr:uid="{4BBCD666-2063-4B49-BBB1-7D5E68577A8C}"/>
    <cellStyle name="20% - Accent3 2" xfId="220" xr:uid="{6B2EF9A8-A389-4F9A-888D-766B7784B1BA}"/>
    <cellStyle name="20% - Accent4 2" xfId="221" xr:uid="{A619491C-25FD-4081-87CC-54C0171AFA4E}"/>
    <cellStyle name="20% - Accent5 2" xfId="222" xr:uid="{72AC8564-2AD1-4D95-A626-0603F46658D6}"/>
    <cellStyle name="20% - Accent6 2" xfId="223" xr:uid="{9F60AF63-CBCD-4874-867C-EDF2FDAC8FC9}"/>
    <cellStyle name="40% - Accent1 2" xfId="224" xr:uid="{C94586A2-48F1-4302-B60B-79CDBCC515B6}"/>
    <cellStyle name="40% - Accent2 2" xfId="225" xr:uid="{3C0A8649-E783-4421-BA7D-0E59176B65A1}"/>
    <cellStyle name="40% - Accent3 2" xfId="226" xr:uid="{38986D03-8B10-4C3D-89E1-D0616E7B0EA6}"/>
    <cellStyle name="40% - Accent4 2" xfId="227" xr:uid="{74CE9533-BB5F-4CF8-8296-F3CDC7EE8F77}"/>
    <cellStyle name="40% - Accent5 2" xfId="228" xr:uid="{E9B5E04C-BCF7-4AF7-8DC9-1C13E0C28457}"/>
    <cellStyle name="40% - Accent6 2" xfId="229" xr:uid="{1A5461F9-CF18-4115-9719-34AF956F46D9}"/>
    <cellStyle name="60% - Accent1 2" xfId="230" xr:uid="{F4840B8D-B495-4852-8E45-F9599A401F02}"/>
    <cellStyle name="60% - Accent2 2" xfId="231" xr:uid="{92673C67-0F71-410E-AB81-07B3BD6A8A3C}"/>
    <cellStyle name="60% - Accent3 2" xfId="232" xr:uid="{62DC7D95-12D6-4807-BCDC-EDB1A9E9771F}"/>
    <cellStyle name="60% - Accent4 2" xfId="233" xr:uid="{26FAC29F-6E23-4713-B783-844179A3F547}"/>
    <cellStyle name="60% - Accent5 2" xfId="234" xr:uid="{A46E895C-B6CD-43F1-B672-0F7F43B4D9A7}"/>
    <cellStyle name="60% - Accent6 2" xfId="235" xr:uid="{A869674A-C157-4778-B4F4-D9A3070FEB79}"/>
    <cellStyle name="Accent1 2" xfId="236" xr:uid="{00E4F7BD-80FB-4E31-9866-7FCE7C8E4C7D}"/>
    <cellStyle name="Accent2 2" xfId="237" xr:uid="{8AA0EDE2-4B4D-4E32-B14B-B38472AD0A94}"/>
    <cellStyle name="Accent3 2" xfId="238" xr:uid="{860086AE-B540-4C56-BEE6-27836778984A}"/>
    <cellStyle name="Accent4 2" xfId="239" xr:uid="{ED27629B-F8DF-44CC-8B31-8BE190AEDF3C}"/>
    <cellStyle name="Accent5 2" xfId="240" xr:uid="{1AA132E7-5678-4A12-AAE1-5FA4E52B5A9E}"/>
    <cellStyle name="Accent6 2" xfId="241" xr:uid="{A5619FE1-A222-4801-B013-EA1B62A301A9}"/>
    <cellStyle name="Bad 2" xfId="242" xr:uid="{9A7A05FF-C1B3-447E-928C-5F332D0B9E88}"/>
    <cellStyle name="Calculation 2" xfId="243" xr:uid="{3F893542-3020-4930-A478-74A73B4E8FA2}"/>
    <cellStyle name="Check Cell 2" xfId="244" xr:uid="{5B43E59C-3085-4E70-AD07-B5B103074026}"/>
    <cellStyle name="Comma 2" xfId="9" xr:uid="{D2D1A932-7D56-4143-BA20-FC8135E326E8}"/>
    <cellStyle name="Comma 2 2" xfId="20" xr:uid="{8A8FE820-3E6A-4BBD-88FD-5907FA3CDD4E}"/>
    <cellStyle name="Comma 2 2 2" xfId="44" xr:uid="{C685E959-AC20-4BA7-B5A7-0B3B35DA5BE8}"/>
    <cellStyle name="Comma 2 3" xfId="245" xr:uid="{3DB05186-0DF7-4DA9-9B7C-1D8CEF59C088}"/>
    <cellStyle name="Comma 2 4" xfId="246" xr:uid="{86C1D494-5FB6-4470-9069-6E6C9EE8B4DF}"/>
    <cellStyle name="Comma 2 5" xfId="247" xr:uid="{0E8D7098-090D-4E30-AE94-1677E3CEF98E}"/>
    <cellStyle name="Comma 2 6" xfId="248" xr:uid="{07F2B239-B305-4BAA-AFDA-4CA68FC49DA4}"/>
    <cellStyle name="Comma 2 7" xfId="529" xr:uid="{F0B20151-ADF0-408F-98E6-CBBDC8137B30}"/>
    <cellStyle name="Comma 2 8" xfId="39" xr:uid="{CFB34DAB-2617-4683-BAA2-F2B19F121931}"/>
    <cellStyle name="Comma 2 8 2" xfId="891" xr:uid="{F09DB9BE-7549-4666-B7DE-6F13CE082B85}"/>
    <cellStyle name="Comma 2 8 2 2" xfId="899" xr:uid="{33F08CA2-A2CE-454E-9FEC-A303892B31E8}"/>
    <cellStyle name="Comma 3" xfId="26" xr:uid="{F0DB343A-DADC-48AC-BA48-4C4C17B7125C}"/>
    <cellStyle name="Comma 3 2" xfId="45" xr:uid="{4AE1F8CB-ACBB-4CE0-A6B1-CACC33B87866}"/>
    <cellStyle name="Comma 3 2 2" xfId="892" xr:uid="{C7A87153-ECA0-4A27-9154-B4360F6F60AA}"/>
    <cellStyle name="Comma 4" xfId="28" xr:uid="{A75B773E-24AD-4B44-B26A-74EC221C3747}"/>
    <cellStyle name="Comma 4 2" xfId="249" xr:uid="{7F742E11-F40B-4A27-A030-C9417C6037EF}"/>
    <cellStyle name="Comma 5" xfId="532" xr:uid="{E38D9FA7-4F3C-46CF-A6E7-913BE0EE0674}"/>
    <cellStyle name="Comma 6" xfId="895" xr:uid="{762B766B-C402-4ECE-B8DE-40A99AEB84FE}"/>
    <cellStyle name="Comma 9" xfId="250" xr:uid="{89739674-005D-4A0F-B038-3C714AD0E329}"/>
    <cellStyle name="Comma0" xfId="251" xr:uid="{22118A9B-F9D6-4D65-87D6-A42A8E627ED6}"/>
    <cellStyle name="Currency 2" xfId="252" xr:uid="{27EB37FC-B88E-404C-9D13-83496F1DBF32}"/>
    <cellStyle name="Currency 3" xfId="253" xr:uid="{FB5BBDF5-541F-48DF-B021-D311FC109040}"/>
    <cellStyle name="Currency0" xfId="527" xr:uid="{13D58C21-DD57-400E-A4FE-BBEADBCBF42F}"/>
    <cellStyle name="Explanatory Text 2" xfId="254" xr:uid="{918EF6A5-E776-40AB-BEF5-70CED55C0C8A}"/>
    <cellStyle name="Good 2" xfId="255" xr:uid="{21A750D9-F4B5-47D7-B0A5-82A5F011C517}"/>
    <cellStyle name="Heading 1 2" xfId="256" xr:uid="{6F3DE817-81E0-4721-A231-A1DEBC62DC43}"/>
    <cellStyle name="Heading 2 2" xfId="257" xr:uid="{6525BAA1-D64C-4FDA-B64B-2BF83F3DEB7F}"/>
    <cellStyle name="Heading 3 2" xfId="258" xr:uid="{E04433E5-2159-4B0E-8609-8A7A19302C2A}"/>
    <cellStyle name="Heading 4 2" xfId="259" xr:uid="{0231964D-3E26-4E16-9F40-CB387DB8E28C}"/>
    <cellStyle name="Hyperlink 16" xfId="32" xr:uid="{7C6DC483-EC3B-4FE9-B52F-3E85C3C391E8}"/>
    <cellStyle name="Hyperlink 2" xfId="23" xr:uid="{EECE82D0-29A1-44EB-A568-94BEAEDA9E31}"/>
    <cellStyle name="Hyperlink 2 2" xfId="46" xr:uid="{15D6949B-1FA5-4C2B-9945-1A5E180DEB98}"/>
    <cellStyle name="Hyperlink 2 2 2" xfId="889" xr:uid="{64D9A6F5-7DF2-46B1-BAC1-3349F4E12B4A}"/>
    <cellStyle name="Hyperlink 3" xfId="29" xr:uid="{57EAB66F-1B97-4282-A0FC-42D1CEB069D3}"/>
    <cellStyle name="Hyperlink 3 2" xfId="48" xr:uid="{B67F0726-0C4E-4AAF-9B24-AA06826AAF75}"/>
    <cellStyle name="Hyperlink 3 3" xfId="31" xr:uid="{EDAAB425-CEB4-46D2-9664-D497A7D8254A}"/>
    <cellStyle name="Hyperlink 3 4" xfId="534" xr:uid="{D1123914-7D6A-4627-8CDC-BD2C9BCB011E}"/>
    <cellStyle name="Hyperlink 4" xfId="53" xr:uid="{7539F096-9EA0-4049-8BDD-8061D0040563}"/>
    <cellStyle name="Hyperlink 5" xfId="340" xr:uid="{DCE20A36-3EED-4E74-8569-2D233AE340F2}"/>
    <cellStyle name="Hyperlink 6" xfId="34" xr:uid="{9ECF0195-4F51-41C0-994C-2B2DD9094089}"/>
    <cellStyle name="Hyperlink 6 2" xfId="524" xr:uid="{3BD692D0-6D84-4DE9-9A89-5038DDA452E8}"/>
    <cellStyle name="Hyperlink 7" xfId="17" xr:uid="{A1CD78E3-AA22-4E11-80EC-48CF7FCC5C94}"/>
    <cellStyle name="Input 2" xfId="260" xr:uid="{139E5E1C-BEF3-4D57-9195-10077C863AE6}"/>
    <cellStyle name="Linked Cell 2" xfId="261" xr:uid="{FB1C5644-75AA-4603-96E2-06BBEC3D40D4}"/>
    <cellStyle name="Neutral 2" xfId="262" xr:uid="{BF191787-CDF0-4DB9-831E-BA4369CBA75A}"/>
    <cellStyle name="Normal" xfId="0" builtinId="0"/>
    <cellStyle name="Normal 10" xfId="51" xr:uid="{C026E054-18D0-43FC-9539-378A3F54624F}"/>
    <cellStyle name="Normal 10 2" xfId="342" xr:uid="{E78CFDEA-39D5-469D-9949-B2E4DEE90AE1}"/>
    <cellStyle name="Normal 10 2 2" xfId="712" xr:uid="{AED74D6F-ABC1-4460-8BD3-04CDF7DD9EA3}"/>
    <cellStyle name="Normal 10 2 2 2" xfId="900" xr:uid="{5BCE90DB-06E3-4B21-830F-C12C2D160777}"/>
    <cellStyle name="Normal 10 3" xfId="536" xr:uid="{6D8A30DA-24BB-458E-ACB5-8B91EC04D599}"/>
    <cellStyle name="Normal 11" xfId="263" xr:uid="{2E43A64A-5B38-4763-B951-CC2275F11579}"/>
    <cellStyle name="Normal 11 2" xfId="264" xr:uid="{DA00E4BA-FA57-43E4-9CBB-31D899D68C4A}"/>
    <cellStyle name="Normal 11 2 2" xfId="699" xr:uid="{EF42B80D-0F91-4CEF-91A9-AD7372F261BA}"/>
    <cellStyle name="Normal 11 3" xfId="265" xr:uid="{3C687398-130A-45E3-969E-A57A234A3F78}"/>
    <cellStyle name="Normal 11 3 2" xfId="700" xr:uid="{BEB1EB5F-FCB9-498D-ACAD-0169863F7659}"/>
    <cellStyle name="Normal 11 4" xfId="266" xr:uid="{54B4F307-E1C6-413D-B9E9-AAF274C4BEAC}"/>
    <cellStyle name="Normal 11 4 2" xfId="701" xr:uid="{5FE7893D-B9A1-45B0-AC73-210288BDFB5C}"/>
    <cellStyle name="Normal 110" xfId="10" xr:uid="{6B85CCCA-0848-41BD-A106-07A49A19185B}"/>
    <cellStyle name="Normal 110 2" xfId="21" xr:uid="{0D598DBC-C878-440C-A5D3-136BE2BFE05C}"/>
    <cellStyle name="Normal 110 3" xfId="888" xr:uid="{8670DE9A-376A-48F6-8C47-21CBC2319EFB}"/>
    <cellStyle name="Normal 12" xfId="267" xr:uid="{44E6C523-A4A4-4EA4-B8F4-0E22C861A4B6}"/>
    <cellStyle name="Normal 12 2" xfId="268" xr:uid="{E0447E2A-5248-498D-B79E-66BBCE62FA17}"/>
    <cellStyle name="Normal 12 2 2" xfId="702" xr:uid="{6937AD87-9C29-48AB-B384-4BB0D898F878}"/>
    <cellStyle name="Normal 12 3" xfId="269" xr:uid="{FE48102C-F323-4A52-9475-670EDE149142}"/>
    <cellStyle name="Normal 12 3 2" xfId="703" xr:uid="{32D880C9-F833-46C6-8313-77532E5D7DE8}"/>
    <cellStyle name="Normal 12 4" xfId="270" xr:uid="{D3B9DDDB-F3FF-48C5-B709-2D3F69EA4793}"/>
    <cellStyle name="Normal 12 4 2" xfId="704" xr:uid="{94D72527-7C71-44AE-99DB-153CD423624D}"/>
    <cellStyle name="Normal 13" xfId="271" xr:uid="{B1E431D3-F85E-4FCB-A1E8-0540FAA4AD09}"/>
    <cellStyle name="Normal 13 2" xfId="272" xr:uid="{B49BA774-0997-46B6-8890-AABBE4D574D6}"/>
    <cellStyle name="Normal 13 2 2" xfId="705" xr:uid="{A51AA9F2-7739-4418-9F15-BE62DD88CDA3}"/>
    <cellStyle name="Normal 13 3" xfId="273" xr:uid="{4CBEE09E-C86D-4FDF-83B2-A47548090903}"/>
    <cellStyle name="Normal 13 3 2" xfId="706" xr:uid="{AC914749-F16F-4CE1-92EE-E08A0A61AA7E}"/>
    <cellStyle name="Normal 13 4" xfId="274" xr:uid="{1017182C-B039-4D8C-B281-ABCE5F35981F}"/>
    <cellStyle name="Normal 13 4 2" xfId="707" xr:uid="{DF337A33-D68F-4A10-82C8-FC9339318CD3}"/>
    <cellStyle name="Normal 14" xfId="275" xr:uid="{D5D836AE-381B-4E34-A2EF-42CFAEE9EF9D}"/>
    <cellStyle name="Normal 14 2" xfId="276" xr:uid="{EC164FDC-3458-454B-BA2F-3D71DB20A63D}"/>
    <cellStyle name="Normal 15" xfId="277" xr:uid="{A4F5970A-6118-49DC-85A9-D848711B7161}"/>
    <cellStyle name="Normal 16" xfId="278" xr:uid="{AB519156-8E8A-4F8E-81B6-A536D116DE7D}"/>
    <cellStyle name="Normal 17" xfId="279" xr:uid="{41F52630-DE99-41DF-BAC6-C7CA3570F361}"/>
    <cellStyle name="Normal 18" xfId="280" xr:uid="{293D7EB3-7D6E-41CD-ADCB-4AC54AD797F9}"/>
    <cellStyle name="Normal 19" xfId="30" xr:uid="{F1AADB79-C9FD-4FD7-A42F-D11AE9832ECF}"/>
    <cellStyle name="Normal 2" xfId="1" xr:uid="{4FFA9D8A-1264-4C2B-A13C-FCD40504023D}"/>
    <cellStyle name="Normal 2 10" xfId="54" xr:uid="{F892AB1D-F8E1-4DCF-9612-829C53C80EC6}"/>
    <cellStyle name="Normal 2 10 2" xfId="343" xr:uid="{CA8C78A0-2276-400C-8924-587E982AC608}"/>
    <cellStyle name="Normal 2 10 2 2" xfId="713" xr:uid="{52325B49-9071-43DA-AEB3-F65A89AE4C00}"/>
    <cellStyle name="Normal 2 10 3" xfId="537" xr:uid="{3E9FC0F3-6157-42AA-AEA0-A971C39260B4}"/>
    <cellStyle name="Normal 2 11" xfId="55" xr:uid="{9B5CCF57-7E86-48B7-B064-87DB9BC0C273}"/>
    <cellStyle name="Normal 2 11 2" xfId="344" xr:uid="{57138DCC-98FA-4B7E-8C8A-BC68AF71AC59}"/>
    <cellStyle name="Normal 2 11 2 2" xfId="714" xr:uid="{2B712B54-AA1E-4EED-88C8-9FD4EA830A55}"/>
    <cellStyle name="Normal 2 11 3" xfId="538" xr:uid="{09B21A1D-21F0-4C51-B133-199339276012}"/>
    <cellStyle name="Normal 2 12" xfId="281" xr:uid="{409D5B0A-96A2-4590-868E-0E2150891A67}"/>
    <cellStyle name="Normal 2 13" xfId="282" xr:uid="{8CE3A03A-B234-423D-B3C7-D62DC300E459}"/>
    <cellStyle name="Normal 2 14" xfId="283" xr:uid="{5229DDD1-3EAD-4B12-815E-5108B6237ED0}"/>
    <cellStyle name="Normal 2 15" xfId="284" xr:uid="{F8E27B20-8E9B-40CC-B050-F3B5DD7D3A71}"/>
    <cellStyle name="Normal 2 16" xfId="285" xr:uid="{93F4629C-DCE7-44CE-B9F0-AF3D42C8D95A}"/>
    <cellStyle name="Normal 2 17" xfId="286" xr:uid="{B982E856-AC09-44D0-AC9E-25081E51ADEA}"/>
    <cellStyle name="Normal 2 18" xfId="287" xr:uid="{84B86E69-47C4-4F54-AA04-3F7D21EBA7B7}"/>
    <cellStyle name="Normal 2 19" xfId="288" xr:uid="{6983494A-B845-424F-85DB-0152DFFFFC43}"/>
    <cellStyle name="Normal 2 2" xfId="4" xr:uid="{ECE2F050-8F84-4FC3-B5FF-C4D8F4B629CE}"/>
    <cellStyle name="Normal 2 2 10" xfId="345" xr:uid="{90EAE2FB-0F2C-475E-97DB-4B5501211346}"/>
    <cellStyle name="Normal 2 2 10 2" xfId="715" xr:uid="{38B47823-7943-4D9B-BEFB-A5A03059DC52}"/>
    <cellStyle name="Normal 2 2 2" xfId="56" xr:uid="{38A7A600-4BD7-4447-BFCF-204ADCCDE79C}"/>
    <cellStyle name="Normal 2 2 2 2" xfId="57" xr:uid="{1B14D666-8415-4BCA-95A5-3728F2F607FC}"/>
    <cellStyle name="Normal 2 2 2 2 2" xfId="346" xr:uid="{2EF6C46F-0A31-48A3-9883-345A6A7DC32B}"/>
    <cellStyle name="Normal 2 2 2 2 2 2" xfId="716" xr:uid="{0F14BD97-8F1B-4EE4-AE35-C7C652F226FB}"/>
    <cellStyle name="Normal 2 2 2 2 3" xfId="540" xr:uid="{7A9C2599-80B3-4E8B-8517-26F81DD425B2}"/>
    <cellStyle name="Normal 2 2 2 3" xfId="58" xr:uid="{3A824E5D-F0A5-4F12-B813-CFAF13347F5D}"/>
    <cellStyle name="Normal 2 2 2 3 2" xfId="347" xr:uid="{74C723C6-EA42-469F-8D26-A216E65A3FD7}"/>
    <cellStyle name="Normal 2 2 2 3 2 2" xfId="717" xr:uid="{8009FF20-3726-49E7-A19E-6B9EC4DBE768}"/>
    <cellStyle name="Normal 2 2 2 3 3" xfId="541" xr:uid="{8C49DD28-1E51-4D10-A124-ECF62947E408}"/>
    <cellStyle name="Normal 2 2 2 4" xfId="348" xr:uid="{193FE015-E947-47FF-8A3A-CAE5196C3DE0}"/>
    <cellStyle name="Normal 2 2 2 4 2" xfId="718" xr:uid="{954FF4A6-D7B5-42BE-9535-8E7122A9A1CB}"/>
    <cellStyle name="Normal 2 2 2 5" xfId="539" xr:uid="{5BEB25E8-3498-4B3E-95B3-057A8EE888B2}"/>
    <cellStyle name="Normal 2 2 3" xfId="59" xr:uid="{3E85FBFE-D72C-439E-A5C9-92DA800A10A3}"/>
    <cellStyle name="Normal 2 2 3 2" xfId="60" xr:uid="{D1653326-229F-4DCA-9107-98228ACB2543}"/>
    <cellStyle name="Normal 2 2 3 2 2" xfId="349" xr:uid="{BD1A4893-2CF9-4F72-8782-697BDD4249A1}"/>
    <cellStyle name="Normal 2 2 3 2 2 2" xfId="719" xr:uid="{5B6929D7-739F-41A4-973B-0C62CFDF3063}"/>
    <cellStyle name="Normal 2 2 3 2 3" xfId="543" xr:uid="{1E7D6282-07DE-4853-AB73-76EEF40B582E}"/>
    <cellStyle name="Normal 2 2 3 3" xfId="350" xr:uid="{CDB61114-A46F-428C-BF45-70412B16C1F2}"/>
    <cellStyle name="Normal 2 2 3 3 2" xfId="720" xr:uid="{75DD3A3E-E69C-4C26-87F0-792A5F8E855D}"/>
    <cellStyle name="Normal 2 2 3 4" xfId="542" xr:uid="{943B4787-FD7D-4244-A0AA-66388522FE02}"/>
    <cellStyle name="Normal 2 2 4" xfId="61" xr:uid="{CC35D842-6C2A-409D-891C-E854829BE6CD}"/>
    <cellStyle name="Normal 2 2 4 2" xfId="62" xr:uid="{EF1BF0E0-CE02-4E43-9BE8-5CCDB9B48139}"/>
    <cellStyle name="Normal 2 2 4 2 2" xfId="351" xr:uid="{F77ABA22-F972-4735-8036-8EEF6061AE88}"/>
    <cellStyle name="Normal 2 2 4 2 2 2" xfId="721" xr:uid="{28A3235B-E941-4973-A9FB-999AC60AA64C}"/>
    <cellStyle name="Normal 2 2 4 2 3" xfId="545" xr:uid="{7C4B1A34-DBE9-418D-BD1A-AC253C0AD08E}"/>
    <cellStyle name="Normal 2 2 4 3" xfId="352" xr:uid="{058647FC-D6EE-4ED0-88FD-6E4773C9639B}"/>
    <cellStyle name="Normal 2 2 4 3 2" xfId="722" xr:uid="{2314EC7C-3713-418C-A2DE-DDDEC633B9E8}"/>
    <cellStyle name="Normal 2 2 4 4" xfId="544" xr:uid="{80692F1F-7DCB-4140-B3D9-4AD1E344DD11}"/>
    <cellStyle name="Normal 2 2 5" xfId="63" xr:uid="{CA6BF913-24A3-4509-8F2F-57F0AC9C56ED}"/>
    <cellStyle name="Normal 2 2 5 2" xfId="64" xr:uid="{B5871855-D9A5-4591-B0FE-8CBD7B92A1C2}"/>
    <cellStyle name="Normal 2 2 5 2 2" xfId="353" xr:uid="{C0A54C07-7AC8-49EE-A18D-F2E6C23EC0E0}"/>
    <cellStyle name="Normal 2 2 5 2 2 2" xfId="723" xr:uid="{FC284DFC-9876-481D-9388-2AF46F8E21B3}"/>
    <cellStyle name="Normal 2 2 5 2 3" xfId="547" xr:uid="{DCA845CD-B42B-480C-9224-73FFE7BC7F6F}"/>
    <cellStyle name="Normal 2 2 5 3" xfId="354" xr:uid="{8A06ED75-69FD-487A-8D33-B4D18D284F22}"/>
    <cellStyle name="Normal 2 2 5 3 2" xfId="724" xr:uid="{ADBED3A8-E915-42DE-A62B-597EDB39E82A}"/>
    <cellStyle name="Normal 2 2 5 4" xfId="546" xr:uid="{ED19F92B-AB3B-4540-828E-C7A68213C7F5}"/>
    <cellStyle name="Normal 2 2 6" xfId="65" xr:uid="{7CEA6148-BD40-4C14-BF9E-960373FDC10B}"/>
    <cellStyle name="Normal 2 2 6 2" xfId="355" xr:uid="{A78AB241-8C6E-4878-BFF3-0FA6E4C54219}"/>
    <cellStyle name="Normal 2 2 6 2 2" xfId="725" xr:uid="{66CBEED2-846D-4774-B931-CE70B9DF5AB8}"/>
    <cellStyle name="Normal 2 2 6 3" xfId="548" xr:uid="{D8E5CFE3-C606-44D8-8144-219F579D477F}"/>
    <cellStyle name="Normal 2 2 7" xfId="66" xr:uid="{0CAB575B-CB34-46AD-AC21-423015FA9144}"/>
    <cellStyle name="Normal 2 2 7 2" xfId="356" xr:uid="{15C14C9F-9406-4BA6-882D-9EAF35F07371}"/>
    <cellStyle name="Normal 2 2 7 2 2" xfId="726" xr:uid="{A84B2CC0-8E0C-41C1-A96D-AC56A1708E32}"/>
    <cellStyle name="Normal 2 2 7 3" xfId="549" xr:uid="{BEAECE42-FFFB-40D5-8A24-B29700877524}"/>
    <cellStyle name="Normal 2 2 8" xfId="67" xr:uid="{66125E0D-EE29-4D18-AA04-E7C22CE2A9F3}"/>
    <cellStyle name="Normal 2 2 8 2" xfId="357" xr:uid="{71A0C68A-F872-4B9C-B800-EA7BC5757721}"/>
    <cellStyle name="Normal 2 2 8 2 2" xfId="727" xr:uid="{B2D0F526-DEA1-4108-80CE-F1BF62470DC7}"/>
    <cellStyle name="Normal 2 2 8 3" xfId="550" xr:uid="{E37FCEF1-7DB8-404C-B5BA-CEF17F3ED44A}"/>
    <cellStyle name="Normal 2 2 9" xfId="358" xr:uid="{46D0C2E2-EB0F-4031-8584-76E3D8BEA1C9}"/>
    <cellStyle name="Normal 2 20" xfId="289" xr:uid="{EB2958B9-BFA5-4893-A105-E6D90C06A668}"/>
    <cellStyle name="Normal 2 21" xfId="290" xr:uid="{23A23155-DE3A-4225-8135-9EF196187765}"/>
    <cellStyle name="Normal 2 22" xfId="291" xr:uid="{38E86057-6925-4327-B023-C4FE09236052}"/>
    <cellStyle name="Normal 2 23" xfId="292" xr:uid="{BCF0194A-FBDD-431F-8976-D99F924F6658}"/>
    <cellStyle name="Normal 2 24" xfId="341" xr:uid="{43A4D6B9-0E1F-4F31-861F-6457AED11509}"/>
    <cellStyle name="Normal 2 25" xfId="528" xr:uid="{DE0AC2C7-FB64-4FA0-A9A1-BABAD5D11046}"/>
    <cellStyle name="Normal 2 26" xfId="897" xr:uid="{4DC2C55B-044E-427D-AFA5-A0D9CCA57355}"/>
    <cellStyle name="Normal 2 27" xfId="901" xr:uid="{8AE2DEEF-D35A-406E-885A-E33DCAC8BC79}"/>
    <cellStyle name="Normal 2 28" xfId="16" xr:uid="{EAB8F3B5-8006-4900-BBCA-C8803354AA14}"/>
    <cellStyle name="Normal 2 3" xfId="5" xr:uid="{4E101D00-C28E-4DC3-9C71-0ECD6AE17F20}"/>
    <cellStyle name="Normal 2 3 11" xfId="7" xr:uid="{3D4D5471-0BE1-47F8-877D-5DF29D7F8A1B}"/>
    <cellStyle name="Normal 2 3 2" xfId="15" xr:uid="{5A50EA7F-7985-4FC2-85E0-5BCBA337DCB3}"/>
    <cellStyle name="Normal 2 3 2 2" xfId="68" xr:uid="{7B9B72D7-02C4-4438-B02C-6CCBB2E4F5BC}"/>
    <cellStyle name="Normal 2 3 2 2 2" xfId="359" xr:uid="{C0599CB6-9666-4DF9-B6A2-D2C129CDE3D6}"/>
    <cellStyle name="Normal 2 3 2 2 2 2" xfId="728" xr:uid="{4A1B9378-3E48-4DB9-A34F-50BB852B4305}"/>
    <cellStyle name="Normal 2 3 2 2 3" xfId="551" xr:uid="{6546CA9A-15CB-4DFE-B50B-D03D13C9A2F5}"/>
    <cellStyle name="Normal 2 3 2 3" xfId="69" xr:uid="{AB938D7D-7124-4E71-851C-364D7037A1B0}"/>
    <cellStyle name="Normal 2 3 2 3 2" xfId="360" xr:uid="{B1E0CC61-BB93-4BD5-B017-E3ED20C891C3}"/>
    <cellStyle name="Normal 2 3 2 3 2 2" xfId="729" xr:uid="{CAB24361-26EC-49E0-A3DD-403628BB8C9F}"/>
    <cellStyle name="Normal 2 3 2 3 3" xfId="552" xr:uid="{8E7516E8-8776-45E8-9D30-AEB1951A023D}"/>
    <cellStyle name="Normal 2 3 2 4" xfId="361" xr:uid="{461559C6-9CB2-4FFC-9982-8D5CE73D5536}"/>
    <cellStyle name="Normal 2 3 2 5" xfId="36" xr:uid="{8555B5CE-AAF1-416E-B8BB-DF7095297E58}"/>
    <cellStyle name="Normal 2 3 3" xfId="70" xr:uid="{39EFD40C-A854-4D1B-AC8C-33FD207C04EF}"/>
    <cellStyle name="Normal 2 3 4" xfId="71" xr:uid="{A9FF5355-8963-4ED4-9555-FEC03A4DAD30}"/>
    <cellStyle name="Normal 2 3 4 2" xfId="362" xr:uid="{86ADF8B4-9192-4CAD-BA91-41DA5B48BF0B}"/>
    <cellStyle name="Normal 2 3 4 2 2" xfId="730" xr:uid="{AADD36A0-7A9F-4967-BF1D-4B58AB66D3E9}"/>
    <cellStyle name="Normal 2 3 4 3" xfId="553" xr:uid="{AC620775-0C69-403D-B770-E38B1079E429}"/>
    <cellStyle name="Normal 2 3 5" xfId="72" xr:uid="{454C2A60-85B2-4A39-8EED-178E8C76B544}"/>
    <cellStyle name="Normal 2 3 5 2" xfId="363" xr:uid="{DD8280A1-2B45-4F40-A886-F2EFB9FFA71D}"/>
    <cellStyle name="Normal 2 3 5 2 2" xfId="731" xr:uid="{5EAB6EB3-03BA-407F-B634-170B3993F37E}"/>
    <cellStyle name="Normal 2 3 5 3" xfId="554" xr:uid="{97CE1932-576F-4614-926E-056619533F39}"/>
    <cellStyle name="Normal 2 3 6" xfId="364" xr:uid="{F57E2AE5-8142-4D29-8169-6F92BAB3E6C5}"/>
    <cellStyle name="Normal 2 3 6 2" xfId="732" xr:uid="{7FAA4A07-513B-4091-B46C-C5269996DD08}"/>
    <cellStyle name="Normal 2 3 7" xfId="43" xr:uid="{BF7CB5D5-5C08-4D58-AE0C-9E033E5253FC}"/>
    <cellStyle name="Normal 2 3 8" xfId="35" xr:uid="{6AFBD3CD-3CB8-4483-815C-D9CCC9775509}"/>
    <cellStyle name="Normal 2 4" xfId="13" xr:uid="{88960D78-0822-4B04-A205-07AB63F1DEC0}"/>
    <cellStyle name="Normal 2 4 2" xfId="74" xr:uid="{3F92FC52-D0D1-47E8-A152-128C87C00728}"/>
    <cellStyle name="Normal 2 4 2 2" xfId="365" xr:uid="{50C9F72B-6FAD-48A1-8C56-95A14762A114}"/>
    <cellStyle name="Normal 2 4 2 2 2" xfId="733" xr:uid="{65E53FB5-44F7-47D1-9D3C-9ECF0136CB4C}"/>
    <cellStyle name="Normal 2 4 2 3" xfId="555" xr:uid="{EB8CFCD0-F0FA-40A2-A0EA-6905ABB11C64}"/>
    <cellStyle name="Normal 2 4 3" xfId="73" xr:uid="{7537D8FA-5D6F-4CD9-A852-13B98ABDC582}"/>
    <cellStyle name="Normal 2 4 3 2" xfId="890" xr:uid="{721BAB0A-7DC7-48F8-93DD-B511340510D9}"/>
    <cellStyle name="Normal 2 5" xfId="25" xr:uid="{B6D0D3D0-D0A7-4E6D-AB56-7538D2F78EC7}"/>
    <cellStyle name="Normal 2 5 2" xfId="75" xr:uid="{C734ECA2-8772-4F98-A5D7-20D8141BC639}"/>
    <cellStyle name="Normal 2 5 2 2" xfId="366" xr:uid="{0734EEC2-CC3B-4523-A2E2-CC9FA410DFBB}"/>
    <cellStyle name="Normal 2 5 2 2 2" xfId="734" xr:uid="{3789369A-5D2B-4FC1-9C46-E9CA49777E24}"/>
    <cellStyle name="Normal 2 5 2 3" xfId="557" xr:uid="{C8A4DCF4-EC0E-487F-8D12-7712F2634AD4}"/>
    <cellStyle name="Normal 2 5 3" xfId="367" xr:uid="{2C326583-783B-4A1B-9A76-8B1E13177ADE}"/>
    <cellStyle name="Normal 2 5 3 2" xfId="735" xr:uid="{89902A10-1F1D-4905-B87F-8E91605CFBEA}"/>
    <cellStyle name="Normal 2 5 4" xfId="556" xr:uid="{80ADC35F-41F9-4593-8E16-4AE1F37B44DF}"/>
    <cellStyle name="Normal 2 6" xfId="22" xr:uid="{7A696E35-DA59-4FE4-BA7A-C457E9065CF7}"/>
    <cellStyle name="Normal 2 6 2" xfId="77" xr:uid="{4EB53D94-D0F8-4CBD-A599-49B6DA199C67}"/>
    <cellStyle name="Normal 2 6 2 2" xfId="368" xr:uid="{94AB0284-F747-424B-A290-40EA7B6B4CC5}"/>
    <cellStyle name="Normal 2 6 2 2 2" xfId="736" xr:uid="{6C618C99-B44D-4F10-AC82-19BC46603087}"/>
    <cellStyle name="Normal 2 6 2 3" xfId="559" xr:uid="{25824BA5-988A-4E0D-8579-980979F39C2F}"/>
    <cellStyle name="Normal 2 6 3" xfId="369" xr:uid="{32BA2258-2FA3-43FA-81D0-A73B8B2921C4}"/>
    <cellStyle name="Normal 2 6 3 2" xfId="737" xr:uid="{5D7B197D-9D88-4253-98BA-D3820276463F}"/>
    <cellStyle name="Normal 2 6 4" xfId="76" xr:uid="{24C4E54C-4CCD-4740-8BB6-47F5860C758B}"/>
    <cellStyle name="Normal 2 6 5" xfId="558" xr:uid="{BEFB513D-D7BF-4525-A393-A573C1FA3CDF}"/>
    <cellStyle name="Normal 2 7" xfId="78" xr:uid="{CBE8770F-82D1-4DFC-B333-1955E6A04EAB}"/>
    <cellStyle name="Normal 2 7 2" xfId="79" xr:uid="{676FA20A-9670-4418-8B15-4B99F00007B5}"/>
    <cellStyle name="Normal 2 7 2 2" xfId="370" xr:uid="{7D6E7473-4157-4E23-A168-5C324E59F267}"/>
    <cellStyle name="Normal 2 7 2 2 2" xfId="738" xr:uid="{474F2109-DB87-42FE-A64D-089E1A777317}"/>
    <cellStyle name="Normal 2 7 2 3" xfId="561" xr:uid="{D2813564-A481-40DF-9FA4-C0CF6A74EDD2}"/>
    <cellStyle name="Normal 2 7 3" xfId="371" xr:uid="{46A03A4E-289D-417A-B9F1-BBA70E30A140}"/>
    <cellStyle name="Normal 2 7 3 2" xfId="739" xr:uid="{71F381E2-B748-4726-B934-BF31BABE632B}"/>
    <cellStyle name="Normal 2 7 4" xfId="560" xr:uid="{13BE1695-985C-455C-A6EE-DFEB9342A9BA}"/>
    <cellStyle name="Normal 2 8" xfId="80" xr:uid="{3A502B4E-1E0D-43A0-AE0A-D99F3EDCA7AC}"/>
    <cellStyle name="Normal 2 8 2" xfId="81" xr:uid="{D895CC9B-463D-4B3C-847E-A65F27144A3A}"/>
    <cellStyle name="Normal 2 8 2 2" xfId="372" xr:uid="{DC250372-0AF4-4025-BF11-DB7C03617396}"/>
    <cellStyle name="Normal 2 8 2 2 2" xfId="740" xr:uid="{5FC38C1C-CF4D-402E-B48F-C5F47CAD3F0F}"/>
    <cellStyle name="Normal 2 8 2 3" xfId="563" xr:uid="{0C6E8588-3CAE-4D07-B9C0-00AFA857B281}"/>
    <cellStyle name="Normal 2 8 3" xfId="373" xr:uid="{1B213E65-DD2D-4776-AF67-FB6E3E6EC673}"/>
    <cellStyle name="Normal 2 8 3 2" xfId="741" xr:uid="{A59246FC-0FE8-4F12-BEBC-236D871A1399}"/>
    <cellStyle name="Normal 2 8 4" xfId="562" xr:uid="{3F94D26E-9E7A-45AD-9253-5846A19CC425}"/>
    <cellStyle name="Normal 2 9" xfId="82" xr:uid="{7688E12B-CA77-4DA7-8326-C2822EB3A172}"/>
    <cellStyle name="Normal 2 9 2" xfId="374" xr:uid="{AE168249-8CA2-4488-A13D-AF863BC42C61}"/>
    <cellStyle name="Normal 2 9 2 2" xfId="742" xr:uid="{0B8762C5-6101-4F4E-ACE5-571E1ECB5291}"/>
    <cellStyle name="Normal 2 9 3" xfId="564" xr:uid="{0CC9AA0F-2234-4E31-BF10-83FD3466262A}"/>
    <cellStyle name="Normal 20" xfId="37" xr:uid="{E3107B25-32D9-4625-8563-65B41F267ECB}"/>
    <cellStyle name="Normal 20 2" xfId="894" xr:uid="{F87CD6C3-7167-4AE3-A769-C99564C686AD}"/>
    <cellStyle name="Normal 21" xfId="33" xr:uid="{C1C3C8FB-0D5B-439C-8707-E296681356C6}"/>
    <cellStyle name="Normal 21 2" xfId="893" xr:uid="{AE257E47-CF4A-4D97-AC40-919D3BD38CA2}"/>
    <cellStyle name="Normal 22" xfId="533" xr:uid="{B53AA687-00DC-4B05-83FC-22FC40B26990}"/>
    <cellStyle name="Normal 23" xfId="3" xr:uid="{7969EDCA-A2C3-4406-8589-09F367421CEB}"/>
    <cellStyle name="Normal 3" xfId="18" xr:uid="{8FEC4F2A-5E57-4A8B-A7B8-CE3DD9C55332}"/>
    <cellStyle name="Normal 3 10" xfId="293" xr:uid="{7F6A8CAD-20BB-4875-8E0C-5EF8EBF45D16}"/>
    <cellStyle name="Normal 3 11" xfId="294" xr:uid="{9586DC21-D03A-4A59-81F6-0A8CBF7986BA}"/>
    <cellStyle name="Normal 3 12" xfId="295" xr:uid="{62D5F8C5-8742-40AF-B31D-5A3D0B140194}"/>
    <cellStyle name="Normal 3 13" xfId="296" xr:uid="{693A51DA-EAB5-4174-9DFC-678A5881FD9C}"/>
    <cellStyle name="Normal 3 14" xfId="38" xr:uid="{B321163B-DCA4-4B8D-9235-93C714157634}"/>
    <cellStyle name="Normal 3 2" xfId="12" xr:uid="{DF302D29-5AA2-49B9-9311-A7DFE5B522A6}"/>
    <cellStyle name="Normal 3 2 2" xfId="52" xr:uid="{B169F60D-C4C9-414B-84E0-84ECEFC817AC}"/>
    <cellStyle name="Normal 3 2 2 2" xfId="83" xr:uid="{55ED7D0C-FF11-4574-8BDD-A9DE8C915BA5}"/>
    <cellStyle name="Normal 3 2 2 3" xfId="375" xr:uid="{06461EBC-7D49-4BDC-BEFC-2A4C4774A6AF}"/>
    <cellStyle name="Normal 3 2 2 3 2" xfId="743" xr:uid="{870BA16F-779E-452A-B0ED-E39D4B5C6DBB}"/>
    <cellStyle name="Normal 3 2 3" xfId="84" xr:uid="{3117B912-1F3D-4A1D-8890-774C3E664D80}"/>
    <cellStyle name="Normal 3 2 3 2" xfId="376" xr:uid="{0B34F277-7B0B-4AA9-A81E-2AD387F0AAB1}"/>
    <cellStyle name="Normal 3 2 4" xfId="85" xr:uid="{88F0DCFA-0E46-4E3B-8F87-67BB0C95F8AA}"/>
    <cellStyle name="Normal 3 2 5" xfId="377" xr:uid="{0AB4D3B8-2234-4744-BB21-29859004371B}"/>
    <cellStyle name="Normal 3 2 6" xfId="378" xr:uid="{145CE731-D1BF-412F-B532-026F6B0B50D8}"/>
    <cellStyle name="Normal 3 2 6 2" xfId="744" xr:uid="{2F4A400C-C29E-4A39-8DF6-2EE1FF71FC21}"/>
    <cellStyle name="Normal 3 3" xfId="86" xr:uid="{2AE9BE08-3A65-489B-918A-52CCFBD0BBF1}"/>
    <cellStyle name="Normal 3 3 2" xfId="87" xr:uid="{AB7FA0F8-7984-4BEB-A2ED-1D48F90A5A62}"/>
    <cellStyle name="Normal 3 3 2 2" xfId="379" xr:uid="{C2D6A324-B553-4E12-B005-AFAFAA2AF4EA}"/>
    <cellStyle name="Normal 3 3 2 2 2" xfId="745" xr:uid="{F58D4BF8-722A-4353-BD6F-EE723700206D}"/>
    <cellStyle name="Normal 3 3 2 3" xfId="566" xr:uid="{1D2C285A-A14F-4061-A157-1D9EEF2969BF}"/>
    <cellStyle name="Normal 3 3 3" xfId="88" xr:uid="{A7DEF307-9170-4145-8CD5-242C1E63B991}"/>
    <cellStyle name="Normal 3 3 3 2" xfId="380" xr:uid="{1ABDB4A9-D0E5-457F-9B4B-EA3F1EDB8162}"/>
    <cellStyle name="Normal 3 3 3 2 2" xfId="746" xr:uid="{A68CDC03-597F-4835-8C41-E889C15FC623}"/>
    <cellStyle name="Normal 3 3 3 3" xfId="567" xr:uid="{D19D1378-6302-4062-9FB0-BDEAE7F082BD}"/>
    <cellStyle name="Normal 3 3 4" xfId="381" xr:uid="{0844E1C9-7ABD-4012-A7B6-ABB4A9BC4ADF}"/>
    <cellStyle name="Normal 3 3 4 2" xfId="747" xr:uid="{3F7141B6-6F8E-4078-B71E-3A5FA7807B49}"/>
    <cellStyle name="Normal 3 3 5" xfId="565" xr:uid="{0FBFAE01-4284-4C68-A08B-D6D478BFE21F}"/>
    <cellStyle name="Normal 3 4" xfId="89" xr:uid="{8707FF18-F350-4F51-A460-F6746FCF39A2}"/>
    <cellStyle name="Normal 3 4 2" xfId="90" xr:uid="{79C686F4-C9EC-480A-B9A6-15D006836535}"/>
    <cellStyle name="Normal 3 4 2 2" xfId="382" xr:uid="{50313048-443B-42D8-AF29-57BF78ABBF80}"/>
    <cellStyle name="Normal 3 4 2 2 2" xfId="748" xr:uid="{4C9A7414-EE83-48C4-8C0E-05AAA3B93F97}"/>
    <cellStyle name="Normal 3 4 2 3" xfId="569" xr:uid="{0C8DA809-C8B3-41ED-8A9E-65E17F7766D6}"/>
    <cellStyle name="Normal 3 4 3" xfId="383" xr:uid="{841A86A5-097B-421C-A996-BFA6F907A321}"/>
    <cellStyle name="Normal 3 4 3 2" xfId="749" xr:uid="{00FA399F-D67C-4319-9A9E-E867CCE44A9A}"/>
    <cellStyle name="Normal 3 4 4" xfId="568" xr:uid="{20D7AC66-1F79-4631-AA49-66C61860B591}"/>
    <cellStyle name="Normal 3 5" xfId="91" xr:uid="{7F138D30-D4CF-4FC0-A221-08877D36A0E0}"/>
    <cellStyle name="Normal 3 5 2" xfId="92" xr:uid="{A84491FD-56B0-4022-84BD-CDE439580E46}"/>
    <cellStyle name="Normal 3 5 2 2" xfId="384" xr:uid="{D735FB4A-AA86-4138-B191-F9DBE0969951}"/>
    <cellStyle name="Normal 3 5 2 2 2" xfId="750" xr:uid="{7CCAAB78-0F7B-4CCE-814E-4510D0B15E0B}"/>
    <cellStyle name="Normal 3 5 2 3" xfId="571" xr:uid="{A3B5572E-D49A-4D9D-861A-962524245111}"/>
    <cellStyle name="Normal 3 5 3" xfId="385" xr:uid="{383622CD-BC6F-4904-A238-975816D4CFF9}"/>
    <cellStyle name="Normal 3 5 3 2" xfId="751" xr:uid="{8EB3FE55-94C2-4568-A2A9-A1921CE5DA03}"/>
    <cellStyle name="Normal 3 5 4" xfId="570" xr:uid="{15775B2F-14D7-44F1-AEA2-E9201F141C56}"/>
    <cellStyle name="Normal 3 6" xfId="93" xr:uid="{CBFFE0A4-DAAD-4467-8E29-AECC88875B8F}"/>
    <cellStyle name="Normal 3 6 2" xfId="94" xr:uid="{9800A908-852B-4C31-AF21-AFD4DB848B00}"/>
    <cellStyle name="Normal 3 6 2 2" xfId="386" xr:uid="{9D640F90-C534-4E75-BEBA-5659B2C24861}"/>
    <cellStyle name="Normal 3 6 2 2 2" xfId="752" xr:uid="{41CA7A19-3EEE-418C-90F0-3CBC7BA8DD54}"/>
    <cellStyle name="Normal 3 6 2 3" xfId="573" xr:uid="{F1D4FADC-6A70-435C-A304-4C20797184F0}"/>
    <cellStyle name="Normal 3 6 3" xfId="387" xr:uid="{9A15F131-1D9F-4971-8CA5-26796A6C0F99}"/>
    <cellStyle name="Normal 3 6 3 2" xfId="753" xr:uid="{7867FEDF-A0BE-406D-A68A-9B763BC84CFF}"/>
    <cellStyle name="Normal 3 6 4" xfId="572" xr:uid="{7B27309E-FDE2-4FDF-B56B-9DDE1F2F8DC4}"/>
    <cellStyle name="Normal 3 7" xfId="95" xr:uid="{386AA7B2-EF65-46FD-9FFB-B1EF6F736133}"/>
    <cellStyle name="Normal 3 7 2" xfId="388" xr:uid="{5EC5672D-2BFE-40D9-A5EC-20DD30FD475F}"/>
    <cellStyle name="Normal 3 7 2 2" xfId="754" xr:uid="{75BA5EFC-A90E-490D-B79D-2A88CA69A084}"/>
    <cellStyle name="Normal 3 7 3" xfId="574" xr:uid="{68D4B043-BE46-4C32-B073-012F8DC5855B}"/>
    <cellStyle name="Normal 3 8" xfId="96" xr:uid="{4D293157-274B-4061-AA19-6CD706CBAF16}"/>
    <cellStyle name="Normal 3 8 2" xfId="389" xr:uid="{4639460D-8200-40AA-8490-33F284C59B8B}"/>
    <cellStyle name="Normal 3 8 2 2" xfId="755" xr:uid="{488C841D-D63E-4BB3-89C6-2AADE04FBCF9}"/>
    <cellStyle name="Normal 3 8 3" xfId="575" xr:uid="{F5F23E46-033F-42B7-984E-1FC8B01377C2}"/>
    <cellStyle name="Normal 3 9" xfId="97" xr:uid="{6CA7D8EF-0EF4-48AB-9B67-6B5B38C2CA37}"/>
    <cellStyle name="Normal 3 9 2" xfId="390" xr:uid="{CF8F33F8-7C8F-4E4C-900F-66112C3D376E}"/>
    <cellStyle name="Normal 3 9 2 2" xfId="756" xr:uid="{635B2354-D798-4A10-A34F-8153B54562C9}"/>
    <cellStyle name="Normal 3 9 3" xfId="576" xr:uid="{63E151A9-1053-4652-B98A-BE64C7C90C02}"/>
    <cellStyle name="Normal 4" xfId="11" xr:uid="{251A0417-D37D-4B00-8486-0F449B30FFD4}"/>
    <cellStyle name="Normal 4 10" xfId="98" xr:uid="{3D0BE6F4-8635-4A20-BD8C-55FDE99B2A3B}"/>
    <cellStyle name="Normal 4 10 2" xfId="391" xr:uid="{955D3440-887B-4566-98AF-D904DED5EB0C}"/>
    <cellStyle name="Normal 4 10 2 2" xfId="392" xr:uid="{F50ACD67-BDE9-46EC-904F-392ADA03E676}"/>
    <cellStyle name="Normal 4 10 2 2 2" xfId="758" xr:uid="{523D2E72-92A8-45EE-82F8-2A3FF926616D}"/>
    <cellStyle name="Normal 4 10 2 3" xfId="757" xr:uid="{4A1A936E-F053-4A95-950C-4764B0FB93E1}"/>
    <cellStyle name="Normal 4 10 3" xfId="393" xr:uid="{363BF5F3-E5E8-48F2-9A10-ED10407CB0CB}"/>
    <cellStyle name="Normal 4 10 3 2" xfId="759" xr:uid="{6A9D3AB5-821A-461F-8B9F-DC34099CEB2E}"/>
    <cellStyle name="Normal 4 10 4" xfId="577" xr:uid="{1C722893-7539-418D-B893-2512A45D39DD}"/>
    <cellStyle name="Normal 4 11" xfId="297" xr:uid="{9ED29001-16C8-40C5-96E7-FF7BCE68DA4C}"/>
    <cellStyle name="Normal 4 11 2" xfId="525" xr:uid="{DC9FC3EB-41B9-44D2-B653-DB5A73EC2F60}"/>
    <cellStyle name="Normal 4 12" xfId="298" xr:uid="{A9830C8E-3C12-4D71-B536-4A13BF0A51A2}"/>
    <cellStyle name="Normal 4 13" xfId="299" xr:uid="{5F1AA740-2906-4349-A2BF-9AA0B26823EE}"/>
    <cellStyle name="Normal 4 14" xfId="40" xr:uid="{42C92E0B-6853-4066-A0DC-5E57016C6DC3}"/>
    <cellStyle name="Normal 4 2" xfId="27" xr:uid="{54E6779C-3230-4785-BE25-659495BD5AF9}"/>
    <cellStyle name="Normal 4 2 2" xfId="99" xr:uid="{B74A8FEA-021A-4255-9D80-853A999EA3AC}"/>
    <cellStyle name="Normal 4 2 2 2" xfId="100" xr:uid="{45CAE007-3313-483F-9D48-D5DD91B0E5E4}"/>
    <cellStyle name="Normal 4 2 2 2 2" xfId="394" xr:uid="{5635AF5A-FAAC-4757-8731-94A3A1F59FE5}"/>
    <cellStyle name="Normal 4 2 2 2 2 2" xfId="760" xr:uid="{4FB7CC48-4D00-4DF4-91B1-3B60BA41DDCA}"/>
    <cellStyle name="Normal 4 2 2 2 3" xfId="580" xr:uid="{53A52913-D694-4200-A3ED-9F187F3FFAF2}"/>
    <cellStyle name="Normal 4 2 2 3" xfId="395" xr:uid="{BB336AC7-CBC2-4758-8334-A3C0BB247E80}"/>
    <cellStyle name="Normal 4 2 2 3 2" xfId="761" xr:uid="{0C20C6F0-76CC-4CAD-9C25-873533F2E7B4}"/>
    <cellStyle name="Normal 4 2 2 4" xfId="579" xr:uid="{44670EE2-97AD-472A-B56B-D1BAD1BA00CD}"/>
    <cellStyle name="Normal 4 2 3" xfId="101" xr:uid="{E6D9F799-ECFB-464F-9E5C-25A0E16080A7}"/>
    <cellStyle name="Normal 4 2 3 2" xfId="396" xr:uid="{6879067E-F2B0-49B8-8880-43CC9811FF36}"/>
    <cellStyle name="Normal 4 2 3 2 2" xfId="762" xr:uid="{160F749F-A0D6-4F4B-8247-A21001B7E992}"/>
    <cellStyle name="Normal 4 2 3 3" xfId="581" xr:uid="{A62FDEAE-EB2E-43C0-990F-441FE098AC77}"/>
    <cellStyle name="Normal 4 2 4" xfId="102" xr:uid="{EF8432D5-D935-44C5-80A8-15826CD1A0D4}"/>
    <cellStyle name="Normal 4 2 4 2" xfId="397" xr:uid="{23A8E01C-CCBE-4A3A-BCD3-312F8F0BF41D}"/>
    <cellStyle name="Normal 4 2 4 2 2" xfId="763" xr:uid="{A65AAC63-ED36-4CBD-9CFF-C9337EC50A0F}"/>
    <cellStyle name="Normal 4 2 4 3" xfId="582" xr:uid="{E71BD7F4-39BB-41BD-8F5A-2B012E2B6F17}"/>
    <cellStyle name="Normal 4 2 5" xfId="103" xr:uid="{E326563E-A707-48D4-BDB7-0687B2661055}"/>
    <cellStyle name="Normal 4 2 5 2" xfId="398" xr:uid="{4281B05D-19C6-43A9-8B39-DD67A24A4CB4}"/>
    <cellStyle name="Normal 4 2 5 2 2" xfId="764" xr:uid="{0F939883-5A55-4C10-BF7A-A016DBAB2C4E}"/>
    <cellStyle name="Normal 4 2 5 3" xfId="583" xr:uid="{424C0D20-1BE2-4963-B974-7A892F49E482}"/>
    <cellStyle name="Normal 4 2 6" xfId="399" xr:uid="{CCF91987-F934-4018-B392-BDE90FAEAE7B}"/>
    <cellStyle name="Normal 4 2 6 2" xfId="765" xr:uid="{DAC9FEE5-E1C8-4688-BDD8-41CC2E168569}"/>
    <cellStyle name="Normal 4 2 7" xfId="400" xr:uid="{19351EF4-4925-4852-8E04-9786EDB8B0D6}"/>
    <cellStyle name="Normal 4 2 7 2" xfId="766" xr:uid="{C6D9F96C-8BF8-40B9-AD41-0BB459E18EE2}"/>
    <cellStyle name="Normal 4 2 8" xfId="578" xr:uid="{17D181EC-6564-4FA6-AC3F-1BA12FFAC554}"/>
    <cellStyle name="Normal 4 3" xfId="104" xr:uid="{AC67810D-2829-425F-A015-844A6D49BF74}"/>
    <cellStyle name="Normal 4 3 2" xfId="105" xr:uid="{73CD955F-1B6E-426E-887C-8C5AFD315D4C}"/>
    <cellStyle name="Normal 4 3 2 2" xfId="401" xr:uid="{063B389E-44DB-40CE-B25D-D94CCCA10680}"/>
    <cellStyle name="Normal 4 3 2 2 2" xfId="767" xr:uid="{6AE34F93-7F63-4C7B-8AB4-743C631A1586}"/>
    <cellStyle name="Normal 4 3 2 3" xfId="585" xr:uid="{0B8D9458-3184-4FAC-B01B-B7E1BABC02C1}"/>
    <cellStyle name="Normal 4 3 3" xfId="106" xr:uid="{30E89CF8-AFAD-42E8-BA9C-63038BDC91E6}"/>
    <cellStyle name="Normal 4 3 3 2" xfId="402" xr:uid="{F0E6B1BB-A809-4EEC-A628-3D326F53BC17}"/>
    <cellStyle name="Normal 4 3 3 2 2" xfId="768" xr:uid="{D56486DC-DFAC-42B5-85DB-B69C6C00937C}"/>
    <cellStyle name="Normal 4 3 3 3" xfId="586" xr:uid="{E91A38BB-02CB-4B23-957B-5D6214BA3770}"/>
    <cellStyle name="Normal 4 3 4" xfId="107" xr:uid="{7F2A3F7D-F812-4886-9A4D-1C36DE806FA8}"/>
    <cellStyle name="Normal 4 3 4 2" xfId="403" xr:uid="{B9DD2B1C-0629-4582-84C4-851689B91696}"/>
    <cellStyle name="Normal 4 3 4 2 2" xfId="769" xr:uid="{24C6C9FF-A695-4546-9B57-167CB9804454}"/>
    <cellStyle name="Normal 4 3 4 3" xfId="587" xr:uid="{0D3FA5EC-A6A8-4B19-98C1-9A6DA7E014A3}"/>
    <cellStyle name="Normal 4 3 5" xfId="404" xr:uid="{F09A6BD9-758A-4CDF-BB8B-1E37089595F4}"/>
    <cellStyle name="Normal 4 3 5 2" xfId="770" xr:uid="{5C0E2D9D-BF09-4721-BBAB-87CCA12BAE37}"/>
    <cellStyle name="Normal 4 3 6" xfId="584" xr:uid="{5210F4CC-3AA8-4B6F-9C42-743709BDB61D}"/>
    <cellStyle name="Normal 4 4" xfId="108" xr:uid="{7E5623BB-14F5-4677-A161-ABAFB072E334}"/>
    <cellStyle name="Normal 4 4 2" xfId="109" xr:uid="{F515BD71-6870-4B90-8D02-9D68C30B7EA8}"/>
    <cellStyle name="Normal 4 4 2 2" xfId="405" xr:uid="{7212096A-D50D-42A0-92EE-DEEDA502E92B}"/>
    <cellStyle name="Normal 4 4 2 2 2" xfId="771" xr:uid="{F9047A1E-3F61-4EB9-BBED-AE62AE4F5FA8}"/>
    <cellStyle name="Normal 4 4 2 3" xfId="589" xr:uid="{6277EA3A-DA7F-4871-97E7-9F11202DC593}"/>
    <cellStyle name="Normal 4 4 3" xfId="406" xr:uid="{DC243552-B8A0-4D65-9A9B-E3C338FAC67F}"/>
    <cellStyle name="Normal 4 4 3 2" xfId="772" xr:uid="{FB253E01-795A-4FED-B853-74829A74D78B}"/>
    <cellStyle name="Normal 4 4 4" xfId="588" xr:uid="{00BDFEFD-8CF8-4F79-9F5A-476D2B06E055}"/>
    <cellStyle name="Normal 4 5" xfId="110" xr:uid="{DB3B1AE8-855D-402D-9302-1A2413E1B41A}"/>
    <cellStyle name="Normal 4 5 2" xfId="111" xr:uid="{C27BEFF6-1844-450E-81E9-BE3DE2414842}"/>
    <cellStyle name="Normal 4 5 2 2" xfId="407" xr:uid="{26DC5C1A-3D83-45B6-BBCD-4E8D95ACB9BA}"/>
    <cellStyle name="Normal 4 5 2 2 2" xfId="773" xr:uid="{102F819A-BB3A-4026-8573-A610BECBD8C1}"/>
    <cellStyle name="Normal 4 5 2 3" xfId="591" xr:uid="{4FEFF712-8284-48FB-8CB6-93B54672803C}"/>
    <cellStyle name="Normal 4 5 3" xfId="408" xr:uid="{CF88CD3E-CE50-4B35-B686-BBCBF1E63E50}"/>
    <cellStyle name="Normal 4 5 3 2" xfId="774" xr:uid="{A5A0473E-B463-443E-A504-7AB13C8D8A0D}"/>
    <cellStyle name="Normal 4 5 4" xfId="590" xr:uid="{AB6C83BF-CE71-4748-8AB4-1D0CE5587510}"/>
    <cellStyle name="Normal 4 6" xfId="112" xr:uid="{70EFA1B2-C923-479C-84DA-1829354FCA42}"/>
    <cellStyle name="Normal 4 6 2" xfId="113" xr:uid="{94C9B0EC-F5D0-4CF7-98C4-06BC1F728913}"/>
    <cellStyle name="Normal 4 6 2 2" xfId="409" xr:uid="{5F55C076-FB45-4B9A-B393-75F34F0AFD8A}"/>
    <cellStyle name="Normal 4 6 2 2 2" xfId="775" xr:uid="{E76E6CBE-5423-43E9-921A-3B984CB12C17}"/>
    <cellStyle name="Normal 4 6 2 3" xfId="593" xr:uid="{A317FB20-3689-4750-A337-02E0D815A1C3}"/>
    <cellStyle name="Normal 4 6 3" xfId="410" xr:uid="{4D37093F-293E-4C4F-B137-3D3EC7AA0AE4}"/>
    <cellStyle name="Normal 4 6 3 2" xfId="776" xr:uid="{D44D674B-21FC-4624-B498-63A854C0B0C3}"/>
    <cellStyle name="Normal 4 6 4" xfId="592" xr:uid="{D6793915-ED90-44B8-8137-27103308553F}"/>
    <cellStyle name="Normal 4 7" xfId="114" xr:uid="{EAF565C5-B5E7-4BEF-A701-D682DC2BF204}"/>
    <cellStyle name="Normal 4 7 2" xfId="411" xr:uid="{76B0F761-95D2-44F9-8125-4994DEF19372}"/>
    <cellStyle name="Normal 4 7 2 2" xfId="777" xr:uid="{1DFAE6B6-40C1-4827-A870-27921F1DB744}"/>
    <cellStyle name="Normal 4 7 3" xfId="594" xr:uid="{71BD680E-2DF7-4FDE-BD30-370205B1CDCE}"/>
    <cellStyle name="Normal 4 8" xfId="115" xr:uid="{6785ED92-CDAE-4436-B318-034AE613BCE1}"/>
    <cellStyle name="Normal 4 8 2" xfId="412" xr:uid="{8A29C185-DB5E-42C4-93D4-B9A09E0FC3CE}"/>
    <cellStyle name="Normal 4 8 2 2" xfId="778" xr:uid="{0C41167A-2785-4DAF-9ABC-6EF6BA433309}"/>
    <cellStyle name="Normal 4 8 3" xfId="595" xr:uid="{BACF0DCE-20D7-4994-BACC-3EF7079ABB6B}"/>
    <cellStyle name="Normal 4 9" xfId="116" xr:uid="{1A2B4038-E066-4FA1-8078-E93C35050D0E}"/>
    <cellStyle name="Normal 4 9 2" xfId="413" xr:uid="{EAB4F4F7-F060-41CC-ABB7-45703EF12156}"/>
    <cellStyle name="Normal 4 9 2 2" xfId="779" xr:uid="{83A9DA5E-7251-4AB1-93E0-BA5CCFBCC2D1}"/>
    <cellStyle name="Normal 4 9 3" xfId="596" xr:uid="{C7ED57B0-1A0E-4C44-92B9-214F727DE14D}"/>
    <cellStyle name="Normal 5" xfId="6" xr:uid="{9FA9DCEA-70E9-40C9-88DC-BF3BA7065856}"/>
    <cellStyle name="Normal 5 10" xfId="14" xr:uid="{F7F1B20B-D0B6-4AEF-8D56-083F3BBCCBDA}"/>
    <cellStyle name="Normal 5 10 2" xfId="526" xr:uid="{DB06887A-AF24-4B14-99DC-4107C39761AC}"/>
    <cellStyle name="Normal 5 11" xfId="300" xr:uid="{A7F00DCF-E927-47D3-AC0C-3827B6A8A321}"/>
    <cellStyle name="Normal 5 12" xfId="301" xr:uid="{3AC07034-4C54-4440-9B30-4268E8F5A155}"/>
    <cellStyle name="Normal 5 13" xfId="302" xr:uid="{29887478-1D09-41BF-BBF1-BEDF75C86CDF}"/>
    <cellStyle name="Normal 5 13 2" xfId="708" xr:uid="{4D6D97F8-FD02-477B-8B38-43E49CF37EC4}"/>
    <cellStyle name="Normal 5 14" xfId="41" xr:uid="{B0437F75-AAC7-4CE5-930F-6D4C3A892201}"/>
    <cellStyle name="Normal 5 2" xfId="24" xr:uid="{BC04728D-1F06-46B3-9EE0-9A131673836E}"/>
    <cellStyle name="Normal 5 2 2" xfId="117" xr:uid="{9B6DF44B-0906-4F0A-AFB6-2D2108E54E3B}"/>
    <cellStyle name="Normal 5 2 2 2" xfId="118" xr:uid="{46C94B78-323C-4906-8C6F-E22703994517}"/>
    <cellStyle name="Normal 5 2 2 2 2" xfId="414" xr:uid="{BDD046C2-02C4-4A7C-B2C4-0503291D09B3}"/>
    <cellStyle name="Normal 5 2 2 2 2 2" xfId="780" xr:uid="{CE116C2C-ACF7-4830-8235-76F52F6F77A7}"/>
    <cellStyle name="Normal 5 2 2 2 3" xfId="599" xr:uid="{2CBDC499-DF7E-4E3A-93E3-FF51734C2EFD}"/>
    <cellStyle name="Normal 5 2 2 3" xfId="415" xr:uid="{42689E22-74F6-4FC4-9CC7-CA845467AA1A}"/>
    <cellStyle name="Normal 5 2 2 3 2" xfId="781" xr:uid="{1EB9952C-7B98-4DD8-AD4B-C342858C02F6}"/>
    <cellStyle name="Normal 5 2 2 4" xfId="598" xr:uid="{FE65B726-3D58-40F2-812E-381E08981873}"/>
    <cellStyle name="Normal 5 2 3" xfId="119" xr:uid="{D155EDF6-63A4-4878-9DFA-9948D9F8CEE1}"/>
    <cellStyle name="Normal 5 2 3 2" xfId="416" xr:uid="{CE8F4DCD-09A7-482E-923F-33B9A9DB2628}"/>
    <cellStyle name="Normal 5 2 3 2 2" xfId="782" xr:uid="{A69BAA5E-14F2-470F-8A53-65013E12A366}"/>
    <cellStyle name="Normal 5 2 3 3" xfId="600" xr:uid="{8439B5DE-D62A-49EB-A812-76268275FFD6}"/>
    <cellStyle name="Normal 5 2 4" xfId="120" xr:uid="{E06BADC4-4C19-4B5F-90EA-79BDDBFD43DE}"/>
    <cellStyle name="Normal 5 2 4 2" xfId="417" xr:uid="{7E26D13D-D814-4769-869F-DBBC5D49C19C}"/>
    <cellStyle name="Normal 5 2 4 2 2" xfId="783" xr:uid="{2EC6256F-57D4-41F4-B470-BE845F0A04BF}"/>
    <cellStyle name="Normal 5 2 4 3" xfId="601" xr:uid="{4ED5131A-6306-4153-951F-2FCA9E92C653}"/>
    <cellStyle name="Normal 5 2 5" xfId="418" xr:uid="{D9B9426B-5D55-4CE6-81B4-8CAC91AE84A5}"/>
    <cellStyle name="Normal 5 2 5 2" xfId="784" xr:uid="{44ABF762-7086-4A6F-9002-25931BE017A4}"/>
    <cellStyle name="Normal 5 2 6" xfId="419" xr:uid="{F5CF6104-F394-4418-8C4A-D28A2C82AF86}"/>
    <cellStyle name="Normal 5 2 6 2" xfId="785" xr:uid="{438AC1C3-E1CB-4234-A360-6B923E0247CA}"/>
    <cellStyle name="Normal 5 2 7" xfId="597" xr:uid="{3F187AAC-A483-4DF3-B55F-CBC1F0320C88}"/>
    <cellStyle name="Normal 5 3" xfId="19" xr:uid="{AFADE2D5-AB7C-429C-8B6C-6A73CCA267CA}"/>
    <cellStyle name="Normal 5 3 2" xfId="121" xr:uid="{9983D689-71B1-4FAD-B00F-1A74298438FF}"/>
    <cellStyle name="Normal 5 3 2 2" xfId="420" xr:uid="{0C234AAE-3CBB-4FA2-AB4E-1DB73C89E8C6}"/>
    <cellStyle name="Normal 5 3 2 2 2" xfId="786" xr:uid="{978C21D2-A985-4A86-BC29-6EC18DAF2242}"/>
    <cellStyle name="Normal 5 3 2 3" xfId="603" xr:uid="{CE37ED4D-50DB-4EF9-9828-FC83E2056286}"/>
    <cellStyle name="Normal 5 3 3" xfId="122" xr:uid="{30E7DF21-DD06-4C80-966D-369FF9F995E2}"/>
    <cellStyle name="Normal 5 3 3 2" xfId="421" xr:uid="{AA089846-65D6-40A3-A42D-F4A37029F8FC}"/>
    <cellStyle name="Normal 5 3 3 2 2" xfId="787" xr:uid="{FAA6335E-EE07-4B6E-BDE7-0C9E08BB0125}"/>
    <cellStyle name="Normal 5 3 3 3" xfId="604" xr:uid="{0A867152-61A1-49AD-98A4-64F2E8DEE080}"/>
    <cellStyle name="Normal 5 3 4" xfId="422" xr:uid="{90E48B7D-68C0-44AB-8B87-8BF0A239D771}"/>
    <cellStyle name="Normal 5 3 4 2" xfId="788" xr:uid="{95A7428B-7D8A-4BC5-963F-0DED0A5D02B3}"/>
    <cellStyle name="Normal 5 3 5" xfId="602" xr:uid="{20C390C4-EC10-456F-8C4A-E4CC28A6C709}"/>
    <cellStyle name="Normal 5 3 6" xfId="898" xr:uid="{36412368-245A-4868-A202-593B74EEE8F3}"/>
    <cellStyle name="Normal 5 4" xfId="123" xr:uid="{26639CAD-BFA5-4DF9-B675-DFA3F2558B3B}"/>
    <cellStyle name="Normal 5 4 2" xfId="124" xr:uid="{C15B8BCD-20BF-4A7E-B688-CC6013A19AEF}"/>
    <cellStyle name="Normal 5 4 2 2" xfId="423" xr:uid="{2B03B051-16E9-4D66-A16A-61AFBBEBEBDF}"/>
    <cellStyle name="Normal 5 4 2 2 2" xfId="789" xr:uid="{9C6CE94B-718B-4BC1-AF62-340089FD538C}"/>
    <cellStyle name="Normal 5 4 2 3" xfId="606" xr:uid="{30773F5F-1671-4233-AD94-0CAB372388A3}"/>
    <cellStyle name="Normal 5 4 3" xfId="424" xr:uid="{139275EA-A599-44F9-9A9C-410DBD9B5B03}"/>
    <cellStyle name="Normal 5 4 3 2" xfId="790" xr:uid="{809FB086-6AAF-468D-94A8-7892575F4D19}"/>
    <cellStyle name="Normal 5 4 4" xfId="605" xr:uid="{6EBD7B96-EE45-47D3-B393-3F294CAD796C}"/>
    <cellStyle name="Normal 5 5" xfId="125" xr:uid="{30BBBC02-2435-45A3-89A6-0DEE9CA051BF}"/>
    <cellStyle name="Normal 5 5 2" xfId="126" xr:uid="{7688F36B-3C8C-4B94-A743-1D28CB445DBA}"/>
    <cellStyle name="Normal 5 5 2 2" xfId="425" xr:uid="{9B7150A7-9DB8-4B1A-9477-89CC71C658C2}"/>
    <cellStyle name="Normal 5 5 2 2 2" xfId="791" xr:uid="{6B460D35-65BC-437E-83CE-295397439721}"/>
    <cellStyle name="Normal 5 5 2 3" xfId="608" xr:uid="{BDC39C74-61F8-4136-9B07-DE96E95BC7B1}"/>
    <cellStyle name="Normal 5 5 3" xfId="426" xr:uid="{008E57C2-5D04-4F13-AEEE-99AE9DF3DA32}"/>
    <cellStyle name="Normal 5 5 3 2" xfId="792" xr:uid="{FE58E83A-BE17-4F6F-8A6B-F66366E8BAA4}"/>
    <cellStyle name="Normal 5 5 4" xfId="607" xr:uid="{69C1973F-E8AF-4B68-9AFF-BDEF6D99EEA2}"/>
    <cellStyle name="Normal 5 6" xfId="127" xr:uid="{163E8A31-8418-4344-9E89-D13411F63818}"/>
    <cellStyle name="Normal 5 6 2" xfId="128" xr:uid="{E8B30CE7-70F6-48EE-912B-14415F1B7DEC}"/>
    <cellStyle name="Normal 5 6 2 2" xfId="427" xr:uid="{520F87B3-2C1B-4988-B813-0788879CC9CD}"/>
    <cellStyle name="Normal 5 6 2 2 2" xfId="793" xr:uid="{43DC2F5E-D612-4C7F-8AAC-4AF60E01A2E0}"/>
    <cellStyle name="Normal 5 6 2 3" xfId="610" xr:uid="{9FCB233D-4F99-4DFD-A9BC-00E88D860E48}"/>
    <cellStyle name="Normal 5 6 3" xfId="428" xr:uid="{D2B4B88A-76B2-46CC-B64A-0F4A1EE03024}"/>
    <cellStyle name="Normal 5 6 3 2" xfId="794" xr:uid="{C8DBBCC2-DCBC-45A6-BE34-C63029827165}"/>
    <cellStyle name="Normal 5 6 4" xfId="609" xr:uid="{2F7E8B50-A753-4151-96A3-6367CE20446D}"/>
    <cellStyle name="Normal 5 7" xfId="129" xr:uid="{76401D51-1023-46E3-83EB-2C916FCDD872}"/>
    <cellStyle name="Normal 5 7 2" xfId="429" xr:uid="{31E9B08B-0178-49EE-A1E5-84295A52CB44}"/>
    <cellStyle name="Normal 5 7 2 2" xfId="795" xr:uid="{6C820EF0-C858-4D4B-B5F2-41A9B15E5BC8}"/>
    <cellStyle name="Normal 5 7 3" xfId="611" xr:uid="{4ADBE38F-4489-40B4-86A8-91D65904742B}"/>
    <cellStyle name="Normal 5 8" xfId="130" xr:uid="{26A9966D-EB9A-4B2B-AC93-55538183B12A}"/>
    <cellStyle name="Normal 5 8 2" xfId="430" xr:uid="{81353EC5-1DDD-47FB-87F5-FFA7FD788B61}"/>
    <cellStyle name="Normal 5 8 2 2" xfId="796" xr:uid="{7E4F5F9F-73E7-44CF-B490-4912065032A1}"/>
    <cellStyle name="Normal 5 8 3" xfId="612" xr:uid="{50873E57-921C-4C30-837E-4A005333B541}"/>
    <cellStyle name="Normal 5 9" xfId="131" xr:uid="{79514E49-ECC0-4BB7-881C-2AC388B57F05}"/>
    <cellStyle name="Normal 5 9 2" xfId="431" xr:uid="{EC238803-D702-46F4-9A42-2369C365CD72}"/>
    <cellStyle name="Normal 5 9 2 2" xfId="797" xr:uid="{BB324500-B04B-4DA5-8446-C3302F41F34C}"/>
    <cellStyle name="Normal 5 9 3" xfId="613" xr:uid="{41C116B5-BA2D-4366-A829-C65824291DA1}"/>
    <cellStyle name="Normal 6" xfId="50" xr:uid="{539DB997-9B0B-45AE-A463-F8049BF3C0B1}"/>
    <cellStyle name="Normal 6 2" xfId="303" xr:uid="{E6AF44D5-A97D-4263-81F1-C46AC0B63C25}"/>
    <cellStyle name="Normal 7" xfId="132" xr:uid="{6E02A669-14D9-474A-A92A-3BFB0E3193A2}"/>
    <cellStyle name="Normal 7 10" xfId="432" xr:uid="{B50B63E7-B948-46C3-AE4F-AB8D5E761A0A}"/>
    <cellStyle name="Normal 7 10 2" xfId="798" xr:uid="{B9B8966B-3766-4102-AADF-22A9EE1A475E}"/>
    <cellStyle name="Normal 7 11" xfId="614" xr:uid="{EAEF0BE1-5FC8-4AD3-AD83-E56975AC131A}"/>
    <cellStyle name="Normal 7 2" xfId="133" xr:uid="{E2A4753C-CB91-4A68-AACC-149BCEF6835C}"/>
    <cellStyle name="Normal 7 2 2" xfId="134" xr:uid="{9FBD6074-1F74-4214-A566-2CCA7A3282B2}"/>
    <cellStyle name="Normal 7 2 2 2" xfId="433" xr:uid="{09EBF730-C9CB-4B62-815B-56A792D32B02}"/>
    <cellStyle name="Normal 7 2 2 2 2" xfId="799" xr:uid="{2CF7C461-B66E-4272-A2AD-6C56D3534156}"/>
    <cellStyle name="Normal 7 2 2 3" xfId="616" xr:uid="{CB62020C-2EDD-49E4-96F8-FB22789F7776}"/>
    <cellStyle name="Normal 7 2 3" xfId="135" xr:uid="{8A4DC15B-9C0B-4F81-BA0C-1129BC1EA99E}"/>
    <cellStyle name="Normal 7 2 3 2" xfId="434" xr:uid="{DE9B0159-F1B6-40EF-A4BC-955AADA0EC52}"/>
    <cellStyle name="Normal 7 2 3 2 2" xfId="800" xr:uid="{3F19CF27-14F5-421A-99A4-D7D4FCCEAFF4}"/>
    <cellStyle name="Normal 7 2 3 3" xfId="617" xr:uid="{BE8DB050-76B7-481B-A994-BB6F0382EE66}"/>
    <cellStyle name="Normal 7 2 4" xfId="435" xr:uid="{2EE5736F-A42A-419D-BE0F-01269831D950}"/>
    <cellStyle name="Normal 7 2 4 2" xfId="801" xr:uid="{E016FD72-0F09-43FE-861E-2D16A1806375}"/>
    <cellStyle name="Normal 7 2 5" xfId="615" xr:uid="{AFC58BE4-DD22-4071-92F9-5C4E999A4312}"/>
    <cellStyle name="Normal 7 3" xfId="136" xr:uid="{CFA8C1A3-0890-4249-B03C-C58FA204A9E1}"/>
    <cellStyle name="Normal 7 3 2" xfId="137" xr:uid="{8D785B1E-7CC8-4463-87A5-695346FE9BAF}"/>
    <cellStyle name="Normal 7 3 2 2" xfId="436" xr:uid="{1B7F56F9-31C0-4A9C-93F8-2B25A9C12A7B}"/>
    <cellStyle name="Normal 7 3 2 2 2" xfId="802" xr:uid="{A5EB4445-1139-4254-892B-B2B8AAE70971}"/>
    <cellStyle name="Normal 7 3 2 3" xfId="619" xr:uid="{9AC1841B-68D5-4A99-9AD0-21C32CC192DB}"/>
    <cellStyle name="Normal 7 3 3" xfId="437" xr:uid="{E9CBDEC6-251C-4E4A-8CFA-AE15A98691A2}"/>
    <cellStyle name="Normal 7 3 3 2" xfId="803" xr:uid="{DDBD2723-62BE-4A1B-A3A0-EADD2A05750D}"/>
    <cellStyle name="Normal 7 3 4" xfId="618" xr:uid="{26AD8F46-9EAE-456F-B6AA-1D5AAD1619F8}"/>
    <cellStyle name="Normal 7 4" xfId="138" xr:uid="{8089FAE2-B4E2-4912-A7CF-95CD4D81246F}"/>
    <cellStyle name="Normal 7 4 2" xfId="139" xr:uid="{814EE08C-12E0-4918-A4D8-7B8E1AF751C2}"/>
    <cellStyle name="Normal 7 4 2 2" xfId="438" xr:uid="{052EB4F3-074A-40DC-A29D-5C5375D556B8}"/>
    <cellStyle name="Normal 7 4 2 2 2" xfId="804" xr:uid="{BD07563D-48A3-490E-A5BD-E0D9E13F86F9}"/>
    <cellStyle name="Normal 7 4 2 3" xfId="621" xr:uid="{16186EEC-E914-473B-B875-126769C9E173}"/>
    <cellStyle name="Normal 7 4 3" xfId="439" xr:uid="{10B65D1E-7D31-459E-84B9-F10D4B995040}"/>
    <cellStyle name="Normal 7 4 3 2" xfId="805" xr:uid="{07AC667D-B933-4FB5-8500-7CD78AA5CC1A}"/>
    <cellStyle name="Normal 7 4 4" xfId="620" xr:uid="{AD724DDA-4B75-4B8C-AB5E-9D6FCC0B519C}"/>
    <cellStyle name="Normal 7 5" xfId="140" xr:uid="{86B3FFEF-8369-494B-945C-5C0DE5A6B1D1}"/>
    <cellStyle name="Normal 7 5 2" xfId="141" xr:uid="{F951C85D-3FF1-45F8-80F2-34457C8211D4}"/>
    <cellStyle name="Normal 7 5 2 2" xfId="440" xr:uid="{E361FFA5-F668-4529-B55D-8613F31BD484}"/>
    <cellStyle name="Normal 7 5 2 2 2" xfId="806" xr:uid="{B300D943-9878-4DEA-B876-879B36D224C2}"/>
    <cellStyle name="Normal 7 5 2 3" xfId="623" xr:uid="{BF0DBDD4-E427-4056-9313-F05DB4CE2933}"/>
    <cellStyle name="Normal 7 5 3" xfId="441" xr:uid="{A9165F1E-3967-4B67-A9EE-F740210645CB}"/>
    <cellStyle name="Normal 7 5 3 2" xfId="807" xr:uid="{567F529C-DBCA-47D3-89FA-B10670B1BDA8}"/>
    <cellStyle name="Normal 7 5 4" xfId="622" xr:uid="{0735FC90-7BB4-45EF-986E-5EF85ED38D8E}"/>
    <cellStyle name="Normal 7 6" xfId="142" xr:uid="{E77B08C8-69E1-4B88-BD07-BE88A8ADCD8C}"/>
    <cellStyle name="Normal 7 6 2" xfId="442" xr:uid="{41BD0476-E6B8-43E1-ABC3-0C6A63E518AB}"/>
    <cellStyle name="Normal 7 6 2 2" xfId="808" xr:uid="{D30747F0-3AFA-44A5-9086-CE8A2211E453}"/>
    <cellStyle name="Normal 7 6 3" xfId="624" xr:uid="{F9FA03E2-29AC-42CA-AB1B-197476E1D404}"/>
    <cellStyle name="Normal 7 7" xfId="143" xr:uid="{3749C0C2-0CF3-484C-B000-62E4DFAC6FEC}"/>
    <cellStyle name="Normal 7 7 2" xfId="443" xr:uid="{EB6EB394-D549-4E50-97E5-53D2DF575522}"/>
    <cellStyle name="Normal 7 7 2 2" xfId="809" xr:uid="{A24980E7-B82A-4A97-9540-1595FB802B35}"/>
    <cellStyle name="Normal 7 7 3" xfId="625" xr:uid="{7E17AA7C-6A25-4597-BDC8-FB1E70C89BAF}"/>
    <cellStyle name="Normal 7 8" xfId="144" xr:uid="{EA181C8C-09E9-48FA-8471-6E5C34D62842}"/>
    <cellStyle name="Normal 7 8 2" xfId="444" xr:uid="{380438DF-4F55-4E89-BCD5-CE8EA9B5F092}"/>
    <cellStyle name="Normal 7 8 2 2" xfId="810" xr:uid="{7CD343C6-DEB0-4317-BEAF-39F007842C27}"/>
    <cellStyle name="Normal 7 8 3" xfId="626" xr:uid="{F3048DEC-B8CD-45A5-864F-A16815C2E507}"/>
    <cellStyle name="Normal 7 9" xfId="445" xr:uid="{A8F86749-162C-473A-995E-792950234F53}"/>
    <cellStyle name="Normal 7 9 2" xfId="811" xr:uid="{C328B40B-ED54-4F59-B1CA-E0D74B335869}"/>
    <cellStyle name="Normal 8" xfId="47" xr:uid="{0F080D05-D081-4773-8B31-B88BB8CE3B83}"/>
    <cellStyle name="Normal 8 2" xfId="145" xr:uid="{C86A4467-4B4C-407F-A1CF-41FDF662DCCA}"/>
    <cellStyle name="Normal 8 2 2" xfId="146" xr:uid="{DD1487FC-4D2C-4C43-B829-7DCC461FFB65}"/>
    <cellStyle name="Normal 8 2 2 2" xfId="446" xr:uid="{AB55F25B-8256-4B47-A26B-64601D206D7F}"/>
    <cellStyle name="Normal 8 2 2 2 2" xfId="812" xr:uid="{91D26F0B-80F3-4B15-A047-B1A6E49E4E3C}"/>
    <cellStyle name="Normal 8 2 2 3" xfId="628" xr:uid="{65C20EDD-A402-47F9-903F-71B1BEDE8D9C}"/>
    <cellStyle name="Normal 8 2 3" xfId="447" xr:uid="{5B9B44B9-0AB2-438E-9F3A-A06E397C6B74}"/>
    <cellStyle name="Normal 8 2 3 2" xfId="813" xr:uid="{14396B21-5E09-4AEB-A330-94461D4D1C1E}"/>
    <cellStyle name="Normal 8 2 4" xfId="627" xr:uid="{AEBAC4F4-427D-4A9C-B774-74C58943CCF3}"/>
    <cellStyle name="Normal 8 3" xfId="147" xr:uid="{F511ED29-9EF5-44BA-8095-6F452AB78862}"/>
    <cellStyle name="Normal 8 3 2" xfId="148" xr:uid="{0A5A0A1B-0B2A-4EEB-B76D-CFAB5248BC2F}"/>
    <cellStyle name="Normal 8 3 2 2" xfId="448" xr:uid="{3F46DD40-8174-4F0C-9902-C133A160226E}"/>
    <cellStyle name="Normal 8 3 2 2 2" xfId="814" xr:uid="{699F0281-763E-4BDC-8F4C-F1C5CD0A9142}"/>
    <cellStyle name="Normal 8 3 2 3" xfId="630" xr:uid="{2A6D0C47-1D59-4715-97CF-92DAC0B814DF}"/>
    <cellStyle name="Normal 8 3 3" xfId="449" xr:uid="{34923C60-3226-47F4-9E7A-F9F445C19784}"/>
    <cellStyle name="Normal 8 3 3 2" xfId="815" xr:uid="{D2833492-BF1F-4EE7-B79A-7ADE7E224FEF}"/>
    <cellStyle name="Normal 8 3 4" xfId="629" xr:uid="{2B51A124-E8C9-4608-984D-F3FE24CBC05A}"/>
    <cellStyle name="Normal 8 4" xfId="149" xr:uid="{E584112A-DD71-4FAD-9048-0BE4AF26441D}"/>
    <cellStyle name="Normal 8 4 2" xfId="150" xr:uid="{5B8BCF7F-F2C0-4DA5-8A27-1012C455E079}"/>
    <cellStyle name="Normal 8 4 2 2" xfId="450" xr:uid="{243BC583-A2E7-4EE8-9BDE-518B260110E4}"/>
    <cellStyle name="Normal 8 4 2 2 2" xfId="816" xr:uid="{D5083D63-9A97-4193-B863-84E66EB4600A}"/>
    <cellStyle name="Normal 8 4 2 3" xfId="632" xr:uid="{7692B1D4-95FA-4C10-90FC-F0AEFD173AF6}"/>
    <cellStyle name="Normal 8 4 3" xfId="451" xr:uid="{228D9C15-7600-4FE4-A1B7-A9FAD90B122A}"/>
    <cellStyle name="Normal 8 4 3 2" xfId="817" xr:uid="{8F36D588-938F-4ADE-A98A-3F85E393CB74}"/>
    <cellStyle name="Normal 8 4 4" xfId="631" xr:uid="{588D8D82-526A-4ED8-BB47-903DEE2DEDFF}"/>
    <cellStyle name="Normal 8 5" xfId="151" xr:uid="{B38CA0FD-129E-46D9-B386-0A1F17DB3142}"/>
    <cellStyle name="Normal 8 5 2" xfId="452" xr:uid="{0666C0B9-42BB-48BF-A83A-783AA53F3C56}"/>
    <cellStyle name="Normal 8 5 2 2" xfId="818" xr:uid="{076B66AA-553C-45B0-8DD8-A0FCCEA26DAB}"/>
    <cellStyle name="Normal 8 5 3" xfId="633" xr:uid="{5450F311-C3D1-4A71-B7BA-0DB61A523812}"/>
    <cellStyle name="Normal 8 6" xfId="453" xr:uid="{9504798B-8BDF-4FCF-ABD5-96DCEFF975BE}"/>
    <cellStyle name="Normal 9" xfId="152" xr:uid="{F90AB65A-4E33-467B-B77C-4B43DCB5F2FB}"/>
    <cellStyle name="Note 2" xfId="304" xr:uid="{54AE80A2-7A3C-4243-BEDF-FD1E4B9C313F}"/>
    <cellStyle name="Note 2 2" xfId="709" xr:uid="{1D88E6B0-7E11-429B-922B-BED3CFCD5D5A}"/>
    <cellStyle name="Note 3" xfId="305" xr:uid="{93145A32-C68C-4A05-9AD9-060278950A55}"/>
    <cellStyle name="Note 3 2" xfId="710" xr:uid="{B2E1C0A2-CB41-4947-923F-6F3B06B61C76}"/>
    <cellStyle name="Note 4" xfId="306" xr:uid="{C6F24ABE-D15B-489D-9400-7C1ABC830FEA}"/>
    <cellStyle name="Note 4 2" xfId="711" xr:uid="{0D380598-96A2-4E8D-B75F-6950A35B4EB0}"/>
    <cellStyle name="Note 5" xfId="307" xr:uid="{C27BB309-A745-4276-AE23-3F697F0D2C30}"/>
    <cellStyle name="Output 2" xfId="308" xr:uid="{4FE6327F-8167-42CB-8410-5C9FC2DEB88B}"/>
    <cellStyle name="Percent" xfId="2" builtinId="5"/>
    <cellStyle name="Percent 2" xfId="8" xr:uid="{6F51D5F4-740C-4130-823B-214BD5F94EDC}"/>
    <cellStyle name="Percent 2 10" xfId="454" xr:uid="{3F38BBEE-7C6B-48BF-B84B-C992346CE1DE}"/>
    <cellStyle name="Percent 2 11" xfId="455" xr:uid="{0A66D1CF-4D6F-45B6-8650-F9681BA17338}"/>
    <cellStyle name="Percent 2 11 2" xfId="819" xr:uid="{1F3651C9-3B11-48FB-BE22-D5B11694E8FC}"/>
    <cellStyle name="Percent 2 12" xfId="530" xr:uid="{10CA934F-FC47-475E-A117-DE44927A3A7A}"/>
    <cellStyle name="Percent 2 13" xfId="42" xr:uid="{AA7097A1-B9DB-463D-9B56-8BE24CB0A055}"/>
    <cellStyle name="Percent 2 2" xfId="153" xr:uid="{1EFC552A-BD91-40AA-9C2A-311FC2CC164B}"/>
    <cellStyle name="Percent 2 2 10" xfId="309" xr:uid="{55B620C6-2EAD-4A3F-AF5F-78C063B51BBF}"/>
    <cellStyle name="Percent 2 2 11" xfId="310" xr:uid="{903FCB79-BC23-4DF1-8F4A-24D9165CD591}"/>
    <cellStyle name="Percent 2 2 12" xfId="311" xr:uid="{363C48F9-B4EE-4D2A-A763-1E83182EE0CA}"/>
    <cellStyle name="Percent 2 2 13" xfId="634" xr:uid="{020CAF5C-6B48-4832-AE2B-0C332540076F}"/>
    <cellStyle name="Percent 2 2 2" xfId="154" xr:uid="{E691AF05-F090-4536-BFDB-D9E50CE41C4E}"/>
    <cellStyle name="Percent 2 2 2 2" xfId="155" xr:uid="{974DABCB-66F6-42E7-AFBB-3DFBF2085A1C}"/>
    <cellStyle name="Percent 2 2 2 2 2" xfId="456" xr:uid="{F82775D4-3C39-4A80-8FAB-45FFBC87E785}"/>
    <cellStyle name="Percent 2 2 2 2 2 2" xfId="820" xr:uid="{1D2DC65C-66ED-46CA-85F2-1E13D27DC3FB}"/>
    <cellStyle name="Percent 2 2 2 2 3" xfId="636" xr:uid="{758B73AD-4F97-48C3-9C80-9CB8A7AB4C8E}"/>
    <cellStyle name="Percent 2 2 2 3" xfId="457" xr:uid="{5FD6BC53-4836-4DBB-9CDF-24679E048083}"/>
    <cellStyle name="Percent 2 2 2 3 2" xfId="821" xr:uid="{F088F916-C23A-43F4-A253-CBC1552F48B8}"/>
    <cellStyle name="Percent 2 2 2 4" xfId="635" xr:uid="{1AD73B10-920E-452B-A91C-C1E79FCDACDA}"/>
    <cellStyle name="Percent 2 2 3" xfId="156" xr:uid="{6654141D-64C3-4839-9E70-EF77F1DA8A02}"/>
    <cellStyle name="Percent 2 2 3 2" xfId="458" xr:uid="{F49FB5A8-48C9-4BFE-BCED-AAD2C7B6AEA8}"/>
    <cellStyle name="Percent 2 2 3 2 2" xfId="822" xr:uid="{96F7C4B3-2C6D-44AD-958A-F6B54D99A6EC}"/>
    <cellStyle name="Percent 2 2 3 3" xfId="637" xr:uid="{2363D35C-C108-45D7-ACC3-4AC99AE55610}"/>
    <cellStyle name="Percent 2 2 4" xfId="157" xr:uid="{B8755106-A949-4543-BEB0-07A39D77F81B}"/>
    <cellStyle name="Percent 2 2 4 2" xfId="459" xr:uid="{90BBEC92-CD3B-4114-A104-E07A2555C90B}"/>
    <cellStyle name="Percent 2 2 4 2 2" xfId="823" xr:uid="{8925683C-43D7-434C-8782-ABA22BCDD608}"/>
    <cellStyle name="Percent 2 2 4 3" xfId="638" xr:uid="{53E204E8-FD52-4EB0-9BFF-64BF7484FC3B}"/>
    <cellStyle name="Percent 2 2 5" xfId="312" xr:uid="{028BD601-3511-476C-9BE8-81B277FCB9B1}"/>
    <cellStyle name="Percent 2 2 6" xfId="313" xr:uid="{B40BACBE-85DF-48D5-A97E-B3C40931D868}"/>
    <cellStyle name="Percent 2 2 7" xfId="314" xr:uid="{F20D741F-C043-4845-8BDA-A4AF44E296D4}"/>
    <cellStyle name="Percent 2 2 8" xfId="315" xr:uid="{685F9CCE-5233-4C74-8C1A-F2C6D3401290}"/>
    <cellStyle name="Percent 2 2 9" xfId="316" xr:uid="{4B307797-5460-4FE7-8514-AF4BFEF76BC5}"/>
    <cellStyle name="Percent 2 3" xfId="158" xr:uid="{2027EECA-38A6-4229-92A3-32AA26FCD227}"/>
    <cellStyle name="Percent 2 3 10" xfId="317" xr:uid="{83A11879-276A-40AC-8CC8-80C5EA50B5B7}"/>
    <cellStyle name="Percent 2 3 11" xfId="318" xr:uid="{F844237C-002A-42D2-88F1-D4381A84A3AD}"/>
    <cellStyle name="Percent 2 3 12" xfId="319" xr:uid="{16C83518-5AC5-439F-9043-313A1AAC2C95}"/>
    <cellStyle name="Percent 2 3 13" xfId="639" xr:uid="{012C890D-566A-42F3-BFEB-3B400D109CD8}"/>
    <cellStyle name="Percent 2 3 2" xfId="159" xr:uid="{0BE40D17-2500-414C-9845-5BBAEB0AFF62}"/>
    <cellStyle name="Percent 2 3 2 2" xfId="460" xr:uid="{0A003CF8-4BDE-4D92-967D-B0C802BE6CC8}"/>
    <cellStyle name="Percent 2 3 2 2 2" xfId="824" xr:uid="{9529277C-29ED-4C8E-ACAC-A02EDA70043A}"/>
    <cellStyle name="Percent 2 3 2 3" xfId="640" xr:uid="{9E6578F5-6990-4711-AF16-750C4AF9BE39}"/>
    <cellStyle name="Percent 2 3 3" xfId="160" xr:uid="{D88FA288-1355-4BBE-B4DE-3779E0506B9F}"/>
    <cellStyle name="Percent 2 3 3 2" xfId="461" xr:uid="{785CF6DA-1F6F-4E1C-ACF9-7D16CF8D7510}"/>
    <cellStyle name="Percent 2 3 3 2 2" xfId="825" xr:uid="{BD2C7BAA-EF7E-4EDB-804D-67B6423C170F}"/>
    <cellStyle name="Percent 2 3 3 3" xfId="641" xr:uid="{5F1A0BF5-9569-4355-A5DB-E401065F6AFE}"/>
    <cellStyle name="Percent 2 3 4" xfId="320" xr:uid="{A3A686E7-6F62-4FA0-AAF7-FDC5A80E19BE}"/>
    <cellStyle name="Percent 2 3 5" xfId="321" xr:uid="{DA4BB001-8FCC-47D3-9333-D2FAD39F1ECE}"/>
    <cellStyle name="Percent 2 3 6" xfId="322" xr:uid="{6B12BC79-3975-4F7E-B01D-355A6514E10B}"/>
    <cellStyle name="Percent 2 3 7" xfId="323" xr:uid="{91C331C1-6195-4C1B-A91E-A675A9EF5E40}"/>
    <cellStyle name="Percent 2 3 8" xfId="324" xr:uid="{A4FED788-A26F-497D-91EC-F6F953384EBB}"/>
    <cellStyle name="Percent 2 3 9" xfId="325" xr:uid="{C7AC9F07-B3F3-4C0A-8B3F-A3D1167FEBF8}"/>
    <cellStyle name="Percent 2 4" xfId="161" xr:uid="{6F43DE35-A096-4FAE-B380-26E9B1E386A1}"/>
    <cellStyle name="Percent 2 4 10" xfId="326" xr:uid="{96E8E61B-C1EF-4470-A60A-116E955D045D}"/>
    <cellStyle name="Percent 2 4 11" xfId="327" xr:uid="{03E2B3E3-1940-421B-A426-A18465DFB7FB}"/>
    <cellStyle name="Percent 2 4 12" xfId="328" xr:uid="{70B1CCE5-349C-4815-8661-69C36DC0ADF8}"/>
    <cellStyle name="Percent 2 4 13" xfId="642" xr:uid="{E32F2620-5B00-4661-9E74-CDE55C5CF54B}"/>
    <cellStyle name="Percent 2 4 2" xfId="162" xr:uid="{E9FDAC32-4540-4F35-9DDF-37D9F093F323}"/>
    <cellStyle name="Percent 2 4 2 2" xfId="462" xr:uid="{C9D8D340-028C-46A6-8350-6487CC037772}"/>
    <cellStyle name="Percent 2 4 2 2 2" xfId="826" xr:uid="{6F396B36-EE17-476A-8E36-4122FD023A17}"/>
    <cellStyle name="Percent 2 4 2 3" xfId="643" xr:uid="{4C6D0E33-896E-43FD-A660-BF837CCACCEF}"/>
    <cellStyle name="Percent 2 4 3" xfId="329" xr:uid="{9D594096-29EE-4D06-8FC8-3422FED1EF52}"/>
    <cellStyle name="Percent 2 4 4" xfId="330" xr:uid="{F4713EE0-BEFE-4B67-9588-5B09D650DE99}"/>
    <cellStyle name="Percent 2 4 5" xfId="331" xr:uid="{B202A84E-83C7-4381-9D72-ED5B8AFCB66F}"/>
    <cellStyle name="Percent 2 4 6" xfId="332" xr:uid="{DFE4A080-44F2-46D6-A5B8-99BCAF2B2BB0}"/>
    <cellStyle name="Percent 2 4 7" xfId="333" xr:uid="{B060840C-CA4A-4760-937F-8810FBFBE08A}"/>
    <cellStyle name="Percent 2 4 8" xfId="334" xr:uid="{295A0C12-ED3A-4DD2-8771-61669B543871}"/>
    <cellStyle name="Percent 2 4 9" xfId="335" xr:uid="{753ACA30-2702-4C68-92DF-338CE4E95865}"/>
    <cellStyle name="Percent 2 5" xfId="163" xr:uid="{EE82A4A3-7143-4401-A6C7-16C6DEC5C424}"/>
    <cellStyle name="Percent 2 5 2" xfId="164" xr:uid="{9EE720D6-E4C5-4DA2-AD3F-DD01655660B0}"/>
    <cellStyle name="Percent 2 5 2 2" xfId="463" xr:uid="{3D3E1427-6920-4298-8B42-5555F8226C93}"/>
    <cellStyle name="Percent 2 5 2 2 2" xfId="827" xr:uid="{D78A6360-710E-4958-BD5F-CBA980FDDC2D}"/>
    <cellStyle name="Percent 2 5 2 3" xfId="645" xr:uid="{6E68BDF1-44BA-4514-AD2E-966C02D291C4}"/>
    <cellStyle name="Percent 2 5 3" xfId="464" xr:uid="{B260A3F1-3CED-4219-8A58-5A065DEEE0E3}"/>
    <cellStyle name="Percent 2 5 3 2" xfId="828" xr:uid="{55772604-E5B5-46CD-B55C-CBF46736C43A}"/>
    <cellStyle name="Percent 2 5 4" xfId="644" xr:uid="{5ACE6325-3143-427D-878D-9071EF659820}"/>
    <cellStyle name="Percent 2 6" xfId="165" xr:uid="{D3005D43-C067-4157-AAAD-A5B9E1B039BD}"/>
    <cellStyle name="Percent 2 6 2" xfId="166" xr:uid="{AC0C5D82-75E0-4F21-8723-E047E191B8FC}"/>
    <cellStyle name="Percent 2 6 2 2" xfId="465" xr:uid="{F7D484F9-A86D-4543-86A2-5DA8C5BAF5FC}"/>
    <cellStyle name="Percent 2 6 2 2 2" xfId="829" xr:uid="{B278E245-902F-4256-8362-1C9EDD57B626}"/>
    <cellStyle name="Percent 2 6 2 3" xfId="647" xr:uid="{EB541DB1-44A2-4E5C-A20D-97113E83E8F9}"/>
    <cellStyle name="Percent 2 6 3" xfId="466" xr:uid="{22D32DBC-92E5-4B9C-A07D-B7A3DE1C215E}"/>
    <cellStyle name="Percent 2 6 3 2" xfId="830" xr:uid="{4E4FE0F5-96FA-41E9-B186-10CA78F5FBAA}"/>
    <cellStyle name="Percent 2 6 4" xfId="646" xr:uid="{8999429B-0311-49C5-B4E1-75230A395ECC}"/>
    <cellStyle name="Percent 2 7" xfId="167" xr:uid="{53080317-09B5-48AE-924F-50F7AB8A3B5A}"/>
    <cellStyle name="Percent 2 7 2" xfId="467" xr:uid="{6FABA7B9-DD72-49AA-9E75-FF7A207AC53C}"/>
    <cellStyle name="Percent 2 7 2 2" xfId="831" xr:uid="{52BF9C18-1742-4BC4-9AAF-5AAC78BE56A2}"/>
    <cellStyle name="Percent 2 7 3" xfId="648" xr:uid="{3E934037-9300-4B33-B100-A9494C4211C4}"/>
    <cellStyle name="Percent 2 8" xfId="168" xr:uid="{D9225D44-4985-4BB2-9DC8-8D77A074584D}"/>
    <cellStyle name="Percent 2 8 2" xfId="468" xr:uid="{089CC61A-277E-4F76-AB55-C165CCF85183}"/>
    <cellStyle name="Percent 2 8 2 2" xfId="832" xr:uid="{4EB66A0B-4813-4811-8965-9AC623D495F6}"/>
    <cellStyle name="Percent 2 8 3" xfId="649" xr:uid="{2E0E52E5-3F3A-453C-B136-FCC89640D590}"/>
    <cellStyle name="Percent 2 9" xfId="169" xr:uid="{4CE329AF-E56E-45FC-ADA8-DEC855A38746}"/>
    <cellStyle name="Percent 2 9 2" xfId="469" xr:uid="{5B749F47-614D-4AE5-A150-0DF93405B4FB}"/>
    <cellStyle name="Percent 2 9 2 2" xfId="833" xr:uid="{602A52FE-9CCD-4AA5-914B-DE336B3C123F}"/>
    <cellStyle name="Percent 2 9 3" xfId="650" xr:uid="{72F7B92D-2A2E-44F9-9D13-22BABFB1FE12}"/>
    <cellStyle name="Percent 3" xfId="49" xr:uid="{857A0702-A7D2-4A21-BF53-FEB02E88BD26}"/>
    <cellStyle name="Percent 3 10" xfId="470" xr:uid="{2F667234-22A2-46E5-8204-C9AE19762D67}"/>
    <cellStyle name="Percent 3 10 2" xfId="834" xr:uid="{4F4ED863-CE38-4718-A640-C051F14BE0ED}"/>
    <cellStyle name="Percent 3 11" xfId="471" xr:uid="{67B51E04-18ED-4AE2-B1E2-0CA8BE895776}"/>
    <cellStyle name="Percent 3 11 2" xfId="835" xr:uid="{0607D1AC-46FD-41D4-B4A7-79DFD931BCFE}"/>
    <cellStyle name="Percent 3 12" xfId="535" xr:uid="{BF191E9D-AFDC-404B-A462-7EC2FC2C8811}"/>
    <cellStyle name="Percent 3 2" xfId="170" xr:uid="{BF73E3B7-EB23-40F2-8C49-636EB1F01411}"/>
    <cellStyle name="Percent 3 2 2" xfId="171" xr:uid="{706E737E-3FC0-43D1-A2BC-125E7635875B}"/>
    <cellStyle name="Percent 3 2 2 2" xfId="172" xr:uid="{77289C6C-2D1A-49F4-9FB5-5B66C47BA20E}"/>
    <cellStyle name="Percent 3 2 2 2 2" xfId="472" xr:uid="{DF560DAA-985B-4F9D-A391-6C691EA80EE1}"/>
    <cellStyle name="Percent 3 2 2 2 2 2" xfId="836" xr:uid="{4FFFC0A0-BA22-48FA-92C8-972A6A787172}"/>
    <cellStyle name="Percent 3 2 2 2 3" xfId="653" xr:uid="{D5B061B4-6842-462D-AC09-1F3EBBE18A1C}"/>
    <cellStyle name="Percent 3 2 2 3" xfId="473" xr:uid="{7EA8890A-51B6-4CDA-8A8C-0331FFA0948D}"/>
    <cellStyle name="Percent 3 2 2 3 2" xfId="837" xr:uid="{559B487E-E5BF-422D-B676-74681327ED89}"/>
    <cellStyle name="Percent 3 2 2 4" xfId="652" xr:uid="{5BB25926-AF3A-4C93-9B05-F46FDE5C08DC}"/>
    <cellStyle name="Percent 3 2 3" xfId="173" xr:uid="{36CC4305-5944-45D0-AD33-9C5B978483B5}"/>
    <cellStyle name="Percent 3 2 3 2" xfId="474" xr:uid="{881F6A5D-8DFB-4DB9-A19F-E9D8B73BCB6F}"/>
    <cellStyle name="Percent 3 2 3 2 2" xfId="838" xr:uid="{172365EA-0439-47B9-90D0-F14A365E7873}"/>
    <cellStyle name="Percent 3 2 3 3" xfId="654" xr:uid="{14D398D5-D0C1-4FA5-829C-C793831192CD}"/>
    <cellStyle name="Percent 3 2 4" xfId="174" xr:uid="{F09DD179-7429-4EED-B5FE-2BA247055282}"/>
    <cellStyle name="Percent 3 2 4 2" xfId="475" xr:uid="{6AEE217D-841F-4ED7-9A9A-F274A1DB215E}"/>
    <cellStyle name="Percent 3 2 4 2 2" xfId="839" xr:uid="{2E445D4A-ED6A-4471-8271-B2EBA8117D4D}"/>
    <cellStyle name="Percent 3 2 4 3" xfId="655" xr:uid="{035212FD-E1B1-4B14-AA79-3DDE3734A00D}"/>
    <cellStyle name="Percent 3 2 5" xfId="476" xr:uid="{FB7896E9-2100-4A8C-A4C5-F564E5B5E15D}"/>
    <cellStyle name="Percent 3 2 5 2" xfId="840" xr:uid="{6AB41217-0BDD-4A92-827A-7BCB02CB0BF0}"/>
    <cellStyle name="Percent 3 2 6" xfId="477" xr:uid="{9BD71419-986E-4DC6-BE75-58F57579174D}"/>
    <cellStyle name="Percent 3 2 6 2" xfId="841" xr:uid="{F994DDEB-D5C5-4970-83F5-9A917403BD66}"/>
    <cellStyle name="Percent 3 2 7" xfId="651" xr:uid="{693BB633-B0B8-4845-991A-21F0D6420402}"/>
    <cellStyle name="Percent 3 3" xfId="175" xr:uid="{F4B4FB6D-0812-45C1-B8B6-BDA2072A5542}"/>
    <cellStyle name="Percent 3 3 2" xfId="176" xr:uid="{53EECD90-86C4-4256-A20B-C37C5B9DDA45}"/>
    <cellStyle name="Percent 3 3 2 2" xfId="478" xr:uid="{B14E0074-EF64-4A19-9702-6C2ADDA38CD3}"/>
    <cellStyle name="Percent 3 3 2 2 2" xfId="842" xr:uid="{1C84F4F9-7A88-4219-904F-552499E22B97}"/>
    <cellStyle name="Percent 3 3 2 3" xfId="657" xr:uid="{CF97D3EA-759E-4549-95A7-E6E329B2C743}"/>
    <cellStyle name="Percent 3 3 3" xfId="177" xr:uid="{325DC61A-08DD-48A1-B5DC-A05698F6A69B}"/>
    <cellStyle name="Percent 3 3 3 2" xfId="479" xr:uid="{CAFA1B20-698E-4CD7-961A-53DD31C27EC2}"/>
    <cellStyle name="Percent 3 3 3 2 2" xfId="843" xr:uid="{4CF8A9A2-DE4F-40A9-912E-2F163BB96D8A}"/>
    <cellStyle name="Percent 3 3 3 3" xfId="658" xr:uid="{476C434E-017A-4C2B-809C-A04DABE961B4}"/>
    <cellStyle name="Percent 3 3 4" xfId="480" xr:uid="{5C09C6E3-C3C8-4E2A-AE51-F0B62A78739D}"/>
    <cellStyle name="Percent 3 3 4 2" xfId="844" xr:uid="{F9836937-CC30-4AA3-B4B3-65172BBDF445}"/>
    <cellStyle name="Percent 3 3 5" xfId="656" xr:uid="{30F4F9E1-25FD-4F13-81E1-E8AC11D88594}"/>
    <cellStyle name="Percent 3 4" xfId="178" xr:uid="{E216D93C-679C-465D-AE3B-FC2548923585}"/>
    <cellStyle name="Percent 3 4 2" xfId="179" xr:uid="{B48CB0A5-5E8B-4179-A4C9-CEF7D86A0CAF}"/>
    <cellStyle name="Percent 3 4 2 2" xfId="481" xr:uid="{FB510087-5776-4C97-9B92-E3D562EB9B9A}"/>
    <cellStyle name="Percent 3 4 2 2 2" xfId="845" xr:uid="{F9AB6003-CDDE-47E3-A537-004DB7DC979A}"/>
    <cellStyle name="Percent 3 4 2 3" xfId="660" xr:uid="{4DDB8326-F343-4DCB-8A14-48F38F32F8F7}"/>
    <cellStyle name="Percent 3 4 3" xfId="482" xr:uid="{B9DD1D35-1CBE-40E3-A55C-995D7B74F9AD}"/>
    <cellStyle name="Percent 3 4 3 2" xfId="846" xr:uid="{E72EDB51-608B-4F14-940D-49BA1E2DB6E4}"/>
    <cellStyle name="Percent 3 4 4" xfId="659" xr:uid="{36D8500A-4368-4270-8133-31FC36746AAA}"/>
    <cellStyle name="Percent 3 5" xfId="180" xr:uid="{59EF03FE-5DD0-4DC9-8A9F-A67C0A45FCF3}"/>
    <cellStyle name="Percent 3 5 2" xfId="181" xr:uid="{6D98980D-B7DF-41CC-8B30-E964EFBBE628}"/>
    <cellStyle name="Percent 3 5 2 2" xfId="483" xr:uid="{47A888F9-4F70-4325-85D5-D2DFA97CF407}"/>
    <cellStyle name="Percent 3 5 2 2 2" xfId="847" xr:uid="{3EE48774-D313-4375-8290-5EC9F0455C51}"/>
    <cellStyle name="Percent 3 5 2 3" xfId="662" xr:uid="{93C9FB40-4FE5-4BA1-B428-B289067957A6}"/>
    <cellStyle name="Percent 3 5 3" xfId="484" xr:uid="{A1D46308-54B2-49E2-A096-C7B798432A1F}"/>
    <cellStyle name="Percent 3 5 3 2" xfId="848" xr:uid="{701CA539-DDDF-45B0-A467-1F7A247DB42A}"/>
    <cellStyle name="Percent 3 5 4" xfId="661" xr:uid="{C8414801-BEA3-40B6-B4AF-8CDA99B68A0E}"/>
    <cellStyle name="Percent 3 6" xfId="182" xr:uid="{C3FA8D2C-3B69-4999-B0AD-C65438DA117F}"/>
    <cellStyle name="Percent 3 6 2" xfId="183" xr:uid="{2D633306-823C-4F2A-8B19-D201807A03F8}"/>
    <cellStyle name="Percent 3 6 2 2" xfId="485" xr:uid="{517A0CB2-BB12-4FF9-962E-982D271C79B5}"/>
    <cellStyle name="Percent 3 6 2 2 2" xfId="849" xr:uid="{B972F48E-8344-4505-9F7B-A45F239A5A75}"/>
    <cellStyle name="Percent 3 6 2 3" xfId="664" xr:uid="{38B2484B-6727-43F2-87A7-2D38369C4664}"/>
    <cellStyle name="Percent 3 6 3" xfId="486" xr:uid="{4E47041F-2B23-46B0-A33A-7FBE517D0E80}"/>
    <cellStyle name="Percent 3 6 3 2" xfId="850" xr:uid="{779206E1-678C-4F21-B317-0771BBEEDB39}"/>
    <cellStyle name="Percent 3 6 4" xfId="663" xr:uid="{47E5D7C3-6332-4CFD-91C3-D2594F72B4FD}"/>
    <cellStyle name="Percent 3 7" xfId="184" xr:uid="{1F73F27B-8031-40B1-9BFD-52A9BF20049C}"/>
    <cellStyle name="Percent 3 7 2" xfId="487" xr:uid="{749EBFCA-CE4F-49D6-B446-8A5176962870}"/>
    <cellStyle name="Percent 3 7 2 2" xfId="851" xr:uid="{D6C97E1E-03CD-4314-92BA-DC7CABEBAE9D}"/>
    <cellStyle name="Percent 3 7 3" xfId="665" xr:uid="{60C2475C-6914-4E1E-947B-25B7C51FA9D7}"/>
    <cellStyle name="Percent 3 8" xfId="185" xr:uid="{21FBBD10-ED85-4A47-ADA5-B5C43F915F59}"/>
    <cellStyle name="Percent 3 8 2" xfId="488" xr:uid="{B639ACA7-DA8C-4100-840E-33E2ABBA6B47}"/>
    <cellStyle name="Percent 3 8 2 2" xfId="852" xr:uid="{E37B6314-642D-4E73-B422-D32472863A64}"/>
    <cellStyle name="Percent 3 8 3" xfId="666" xr:uid="{4D59DF2F-9DEF-4F60-AFFA-EDC30AE02CD1}"/>
    <cellStyle name="Percent 3 9" xfId="186" xr:uid="{54F5DE23-526D-455B-BCC0-721D87B83F02}"/>
    <cellStyle name="Percent 3 9 2" xfId="489" xr:uid="{C8410F4B-0876-42B6-8774-82FCC95146ED}"/>
    <cellStyle name="Percent 3 9 2 2" xfId="853" xr:uid="{A26E3317-A98E-408C-B26D-EBA55A57485C}"/>
    <cellStyle name="Percent 3 9 3" xfId="667" xr:uid="{9DEC67FC-93C7-4614-A8C1-92AD3967A815}"/>
    <cellStyle name="Percent 4" xfId="187" xr:uid="{2F2177BD-6DA1-4A80-B250-4CFC4F654E54}"/>
    <cellStyle name="Percent 4 10" xfId="490" xr:uid="{30AD3A2A-D08D-48A1-8EBD-C6446B20963B}"/>
    <cellStyle name="Percent 4 10 2" xfId="854" xr:uid="{00D6D8AD-A4F9-4577-97CE-C5212811718D}"/>
    <cellStyle name="Percent 4 11" xfId="491" xr:uid="{F3F0EC04-2E9E-4DBA-B443-297AA63C769A}"/>
    <cellStyle name="Percent 4 11 2" xfId="855" xr:uid="{06A37128-062D-488D-A6CE-D9DF1C38D51F}"/>
    <cellStyle name="Percent 4 12" xfId="668" xr:uid="{BACB5C63-A6F0-46D4-8BFE-E0C781BA75CD}"/>
    <cellStyle name="Percent 4 2" xfId="188" xr:uid="{1201D0E0-9849-45BD-8AB6-EC406FFDE208}"/>
    <cellStyle name="Percent 4 2 2" xfId="189" xr:uid="{9063CEAC-410D-4246-BA11-B11272628594}"/>
    <cellStyle name="Percent 4 2 2 2" xfId="190" xr:uid="{6B2AD148-3F6B-4B7E-8F89-79C14070CB3D}"/>
    <cellStyle name="Percent 4 2 2 2 2" xfId="492" xr:uid="{F80EBC3E-5AB0-4FBE-8AAD-125B98B71240}"/>
    <cellStyle name="Percent 4 2 2 2 2 2" xfId="856" xr:uid="{D5A47292-34D8-46F2-A491-CFEFE5A37FC6}"/>
    <cellStyle name="Percent 4 2 2 2 3" xfId="671" xr:uid="{866F0776-311D-4B20-945B-D6BDF287E74F}"/>
    <cellStyle name="Percent 4 2 2 3" xfId="493" xr:uid="{9422FFD1-573D-4840-85C7-A724D1D27F9D}"/>
    <cellStyle name="Percent 4 2 2 3 2" xfId="857" xr:uid="{D19D77AB-B1A3-427E-B71A-37437BCEC752}"/>
    <cellStyle name="Percent 4 2 2 4" xfId="670" xr:uid="{6FF614EF-A919-47EB-B323-41E155279366}"/>
    <cellStyle name="Percent 4 2 3" xfId="191" xr:uid="{E5860DED-A17A-4F02-9B66-169C042BE5DC}"/>
    <cellStyle name="Percent 4 2 3 2" xfId="494" xr:uid="{2D121A7F-98DE-4BEA-90DA-849970BE9B12}"/>
    <cellStyle name="Percent 4 2 3 2 2" xfId="858" xr:uid="{35B1C08E-28B9-40E0-BA44-5D6C09479EEF}"/>
    <cellStyle name="Percent 4 2 3 3" xfId="672" xr:uid="{18E8ACDA-32A2-4EDE-B5F3-1E07382ADDAC}"/>
    <cellStyle name="Percent 4 2 4" xfId="192" xr:uid="{7F813F89-01CD-403C-AD9B-0C55B0D9529F}"/>
    <cellStyle name="Percent 4 2 4 2" xfId="495" xr:uid="{EDB7DE73-EE15-428B-A9B5-D1B16D91F7BB}"/>
    <cellStyle name="Percent 4 2 4 2 2" xfId="859" xr:uid="{A2BC0A0F-1C12-466E-9949-0DA5AC489843}"/>
    <cellStyle name="Percent 4 2 4 3" xfId="673" xr:uid="{40B349C6-9260-4E40-996F-9DF09819DC97}"/>
    <cellStyle name="Percent 4 2 5" xfId="496" xr:uid="{95CDF866-70E3-4875-AAB3-1D3F75E28D2E}"/>
    <cellStyle name="Percent 4 2 5 2" xfId="860" xr:uid="{4DDE9615-88ED-4599-B09A-15C376099733}"/>
    <cellStyle name="Percent 4 2 6" xfId="497" xr:uid="{3BA8CC6A-4DA3-4C9D-B52D-909598EEE0CE}"/>
    <cellStyle name="Percent 4 2 6 2" xfId="861" xr:uid="{3691E805-BBBE-475C-8520-307B53B7ADA9}"/>
    <cellStyle name="Percent 4 2 7" xfId="669" xr:uid="{CDC03DC9-A16D-4E20-B00E-E449BC58E0DC}"/>
    <cellStyle name="Percent 4 3" xfId="193" xr:uid="{AADA134C-A4EC-48BE-BCF2-F3B4D5817469}"/>
    <cellStyle name="Percent 4 3 2" xfId="194" xr:uid="{51FB07CE-DD26-4AF8-916F-DC5960939B99}"/>
    <cellStyle name="Percent 4 3 2 2" xfId="498" xr:uid="{9426DA9B-A00D-45B8-A164-3CD58A4469CC}"/>
    <cellStyle name="Percent 4 3 2 2 2" xfId="862" xr:uid="{FAC37171-C2D9-4021-BED6-2F23978BB360}"/>
    <cellStyle name="Percent 4 3 2 3" xfId="675" xr:uid="{0988AB1F-CD58-47E2-AD03-856CA62C48F7}"/>
    <cellStyle name="Percent 4 3 3" xfId="195" xr:uid="{E8637F39-A67D-4280-B56F-2A1F73D3A1E1}"/>
    <cellStyle name="Percent 4 3 3 2" xfId="499" xr:uid="{D74E7DE7-FBF3-4E08-A70B-9C3E549C1738}"/>
    <cellStyle name="Percent 4 3 3 2 2" xfId="863" xr:uid="{CC853832-E2F2-4A48-95EE-A353E426A871}"/>
    <cellStyle name="Percent 4 3 3 3" xfId="676" xr:uid="{230D82E0-D5B1-4E14-BC9D-159FEDE5F783}"/>
    <cellStyle name="Percent 4 3 4" xfId="500" xr:uid="{A802CD7F-DA84-4B73-92A6-1734BEF36A8A}"/>
    <cellStyle name="Percent 4 3 4 2" xfId="864" xr:uid="{65E168CC-A1AA-4060-9958-08EAD0C92689}"/>
    <cellStyle name="Percent 4 3 5" xfId="674" xr:uid="{68D44A58-00C7-4488-A5F8-EAAF0BB9DAD1}"/>
    <cellStyle name="Percent 4 4" xfId="196" xr:uid="{E8EA07DB-4BA3-4F79-80EC-FDC02AB21190}"/>
    <cellStyle name="Percent 4 4 2" xfId="197" xr:uid="{0D80CAA8-B020-492F-841A-C241D0880D44}"/>
    <cellStyle name="Percent 4 4 2 2" xfId="501" xr:uid="{6A2B5ACD-ACC6-4FCF-92EF-DD5F1715AAC0}"/>
    <cellStyle name="Percent 4 4 2 2 2" xfId="865" xr:uid="{FB09DBF0-BD25-4A2C-A711-16BD496CE45E}"/>
    <cellStyle name="Percent 4 4 2 3" xfId="678" xr:uid="{97587ED7-74BE-4ADB-BDCD-5AA2474CBDCE}"/>
    <cellStyle name="Percent 4 4 3" xfId="502" xr:uid="{34ADE8A0-3587-40AC-A6E0-2ADBA7606D76}"/>
    <cellStyle name="Percent 4 4 3 2" xfId="866" xr:uid="{D07B8334-BF97-4A51-BB64-3DB317B4B968}"/>
    <cellStyle name="Percent 4 4 4" xfId="677" xr:uid="{38C28344-F431-43D7-866D-135794301EEB}"/>
    <cellStyle name="Percent 4 5" xfId="198" xr:uid="{C9FCCFCB-67AE-4B50-B61E-C4B295E69AD6}"/>
    <cellStyle name="Percent 4 5 2" xfId="199" xr:uid="{54E1FD93-B0F0-4497-AFAB-9A95E32F7CA7}"/>
    <cellStyle name="Percent 4 5 2 2" xfId="503" xr:uid="{E87AF23A-91E2-4390-9C6A-0C19C516B6BA}"/>
    <cellStyle name="Percent 4 5 2 2 2" xfId="867" xr:uid="{D5438A5F-1D14-47CB-93B9-D285DAAD6296}"/>
    <cellStyle name="Percent 4 5 2 3" xfId="680" xr:uid="{114A959F-7C07-4703-BED6-2D4649A49F01}"/>
    <cellStyle name="Percent 4 5 3" xfId="504" xr:uid="{DF0110F3-0E28-4D8C-97FA-FBF2B3A4BC3F}"/>
    <cellStyle name="Percent 4 5 3 2" xfId="868" xr:uid="{65C098AA-04DC-4B00-BCCF-19A85B09D947}"/>
    <cellStyle name="Percent 4 5 4" xfId="679" xr:uid="{105989F2-5E24-4929-AEA7-773235D684EA}"/>
    <cellStyle name="Percent 4 6" xfId="200" xr:uid="{D283AF7E-EE26-461E-8219-B16A548D87D0}"/>
    <cellStyle name="Percent 4 6 2" xfId="201" xr:uid="{7E2851C7-8513-4B3F-A19A-1A337BC1CA92}"/>
    <cellStyle name="Percent 4 6 2 2" xfId="505" xr:uid="{90A78C6B-A9B6-4077-9E06-DF4F1AF64381}"/>
    <cellStyle name="Percent 4 6 2 2 2" xfId="869" xr:uid="{A8D82B5E-CCED-45FD-A2DB-E1CE0BBD608C}"/>
    <cellStyle name="Percent 4 6 2 3" xfId="682" xr:uid="{A17E641E-9444-45C8-842D-6CD8DD49E00A}"/>
    <cellStyle name="Percent 4 6 3" xfId="506" xr:uid="{EA7A26D0-6A6D-4641-8E5F-ABBD5388CA94}"/>
    <cellStyle name="Percent 4 6 3 2" xfId="870" xr:uid="{4A01A066-D046-44A9-ADE2-50F6CDF6DEA2}"/>
    <cellStyle name="Percent 4 6 4" xfId="681" xr:uid="{007AF3F6-F093-4F1A-BE31-3647015C545B}"/>
    <cellStyle name="Percent 4 7" xfId="202" xr:uid="{300791E4-7019-4BE7-88A7-AE403B406539}"/>
    <cellStyle name="Percent 4 7 2" xfId="507" xr:uid="{598A21C1-F83A-4240-970E-442FF6C79542}"/>
    <cellStyle name="Percent 4 7 2 2" xfId="871" xr:uid="{C4822811-C9A0-4BDE-A210-C9E23C38E083}"/>
    <cellStyle name="Percent 4 7 3" xfId="683" xr:uid="{27690678-2C98-4884-BC55-03C69A3AD3D5}"/>
    <cellStyle name="Percent 4 8" xfId="203" xr:uid="{B9F1DD36-09D0-42D4-85D7-DB994B8F99A2}"/>
    <cellStyle name="Percent 4 8 2" xfId="508" xr:uid="{85247A8A-0C8B-4290-B572-6C1CDF9D526B}"/>
    <cellStyle name="Percent 4 8 2 2" xfId="872" xr:uid="{BF43A3C1-6C15-4356-AC2C-6C41A460AD46}"/>
    <cellStyle name="Percent 4 8 3" xfId="684" xr:uid="{FD8862A9-26D4-4981-9775-E03C8ABF2F54}"/>
    <cellStyle name="Percent 4 9" xfId="204" xr:uid="{A30F98E8-BF9C-47E2-94DC-79303953A40C}"/>
    <cellStyle name="Percent 4 9 2" xfId="509" xr:uid="{F5E7D2CC-21CE-4BE5-B589-9546D9E90673}"/>
    <cellStyle name="Percent 4 9 2 2" xfId="873" xr:uid="{13FEEC33-029A-4E69-AF2D-B88A9B8C7FE3}"/>
    <cellStyle name="Percent 4 9 3" xfId="685" xr:uid="{1E28E776-C4DE-4009-BE55-0B2804CD0360}"/>
    <cellStyle name="Percent 5" xfId="205" xr:uid="{FE414CB2-C2B8-456B-8468-A460626DE98B}"/>
    <cellStyle name="Percent 5 10" xfId="510" xr:uid="{03FFFFD9-5B93-4CB9-A311-27209213C690}"/>
    <cellStyle name="Percent 5 10 2" xfId="874" xr:uid="{C8D22825-B02C-46C0-8DAC-2A14750AC007}"/>
    <cellStyle name="Percent 5 11" xfId="686" xr:uid="{02894B42-B69D-4F23-ADA2-1743440362AF}"/>
    <cellStyle name="Percent 5 2" xfId="206" xr:uid="{85DD0D75-9FBC-4E6E-AFA3-5788AC79CB62}"/>
    <cellStyle name="Percent 5 2 2" xfId="207" xr:uid="{9A0FFD52-827C-415F-B959-1F48142FF67D}"/>
    <cellStyle name="Percent 5 2 2 2" xfId="511" xr:uid="{96FD2C14-ADFC-4284-B09A-38E65D4D82E9}"/>
    <cellStyle name="Percent 5 2 2 2 2" xfId="875" xr:uid="{106AD701-AA3D-4209-ABB8-B034ABACEF89}"/>
    <cellStyle name="Percent 5 2 2 3" xfId="688" xr:uid="{71C8B27E-4A03-4C7A-9F05-36378E06C028}"/>
    <cellStyle name="Percent 5 2 3" xfId="208" xr:uid="{4C3FF5EB-D240-4DE9-86B8-4498183DEAF3}"/>
    <cellStyle name="Percent 5 2 3 2" xfId="512" xr:uid="{204E813C-FED4-42C4-889B-FEA86DDD619E}"/>
    <cellStyle name="Percent 5 2 3 2 2" xfId="876" xr:uid="{7C017C18-117F-4F6C-A257-FE6386B92531}"/>
    <cellStyle name="Percent 5 2 3 3" xfId="689" xr:uid="{B11823B5-1A1F-4DAC-B456-F2ECA8BCEA90}"/>
    <cellStyle name="Percent 5 2 4" xfId="513" xr:uid="{951C17FB-D40D-464A-9D29-763B763BBDAB}"/>
    <cellStyle name="Percent 5 2 4 2" xfId="877" xr:uid="{15974BA0-2DDA-477E-9868-A0DE717DAE70}"/>
    <cellStyle name="Percent 5 2 5" xfId="687" xr:uid="{DDF0E319-CAF5-4CC2-AE24-69F0975E2D60}"/>
    <cellStyle name="Percent 5 3" xfId="209" xr:uid="{DC6FE5EF-4964-43F6-9AAB-1872504B5F53}"/>
    <cellStyle name="Percent 5 3 2" xfId="210" xr:uid="{D2457C64-3DFF-45A8-A10C-A0CAEFC68ED2}"/>
    <cellStyle name="Percent 5 3 2 2" xfId="514" xr:uid="{EA9EAE37-585F-43E3-8FBF-CE02D0BAF627}"/>
    <cellStyle name="Percent 5 3 2 2 2" xfId="878" xr:uid="{B0C5D81B-EBD2-49D8-9570-014FF4B7B045}"/>
    <cellStyle name="Percent 5 3 2 3" xfId="691" xr:uid="{BA188E47-8899-4CF0-9608-5B04BF4D5894}"/>
    <cellStyle name="Percent 5 3 3" xfId="515" xr:uid="{F642C94F-6D72-4FC5-8941-7412DEE4B55A}"/>
    <cellStyle name="Percent 5 3 3 2" xfId="879" xr:uid="{7FA2F7C5-782D-4D89-9BD8-2AA938B57FB8}"/>
    <cellStyle name="Percent 5 3 4" xfId="690" xr:uid="{5A3B2FFB-B615-4BED-9241-F3EF8A91EC82}"/>
    <cellStyle name="Percent 5 4" xfId="211" xr:uid="{F038C3F2-1094-4321-AAB8-A919BA9E7BC0}"/>
    <cellStyle name="Percent 5 4 2" xfId="212" xr:uid="{BAE12B60-812F-45EB-8F3A-4692D8F47C60}"/>
    <cellStyle name="Percent 5 4 2 2" xfId="516" xr:uid="{BECDE3B1-387E-4FF8-B4BC-091F32B58914}"/>
    <cellStyle name="Percent 5 4 2 2 2" xfId="880" xr:uid="{A09BF75A-D039-49C1-8D78-633652FE3310}"/>
    <cellStyle name="Percent 5 4 2 3" xfId="693" xr:uid="{08DDDB78-447D-4B76-B1D3-AA405EA766B6}"/>
    <cellStyle name="Percent 5 4 3" xfId="517" xr:uid="{5C8D72F2-CCE9-4D75-9611-97137507E9E1}"/>
    <cellStyle name="Percent 5 4 3 2" xfId="881" xr:uid="{1AA829C1-A206-4003-B8B8-4C01BD808B00}"/>
    <cellStyle name="Percent 5 4 4" xfId="692" xr:uid="{C9D7D759-8561-4C96-86E6-D69B924F030A}"/>
    <cellStyle name="Percent 5 5" xfId="213" xr:uid="{A5A59D8D-9D98-4C8C-99C1-F302C4F303DA}"/>
    <cellStyle name="Percent 5 5 2" xfId="214" xr:uid="{526E1182-D634-40D8-8333-397342390189}"/>
    <cellStyle name="Percent 5 5 2 2" xfId="518" xr:uid="{E8F133D7-20A8-4321-B757-35A7E5858838}"/>
    <cellStyle name="Percent 5 5 2 2 2" xfId="882" xr:uid="{16CC904D-7118-4910-9082-256ABF453F38}"/>
    <cellStyle name="Percent 5 5 2 3" xfId="695" xr:uid="{5FF85555-B2FB-4E2E-8CBB-C218A1178E07}"/>
    <cellStyle name="Percent 5 5 3" xfId="519" xr:uid="{D2831D55-08D9-47CC-BEF9-C5187C320A5C}"/>
    <cellStyle name="Percent 5 5 3 2" xfId="883" xr:uid="{23EDFD5F-DE55-4E09-A0C7-DF4462ABC057}"/>
    <cellStyle name="Percent 5 5 4" xfId="694" xr:uid="{6182AAA0-2510-4D79-8F19-7B41F6AD17B9}"/>
    <cellStyle name="Percent 5 6" xfId="215" xr:uid="{7EDE23C9-C0BB-4E9C-B914-D2277C23AC26}"/>
    <cellStyle name="Percent 5 6 2" xfId="520" xr:uid="{7CF7B381-091D-419D-ABFA-EBEA1E0644C1}"/>
    <cellStyle name="Percent 5 6 2 2" xfId="884" xr:uid="{E4659149-FBA6-46F0-B549-FF54416C17EE}"/>
    <cellStyle name="Percent 5 6 3" xfId="696" xr:uid="{A9051E30-A91B-45F4-85F3-4F060507AE83}"/>
    <cellStyle name="Percent 5 7" xfId="216" xr:uid="{4D77829C-09E4-4A37-A9B6-45BBCD128AEF}"/>
    <cellStyle name="Percent 5 7 2" xfId="521" xr:uid="{997A9BF6-C353-4D3B-87D9-73CE46A1A7AF}"/>
    <cellStyle name="Percent 5 7 2 2" xfId="885" xr:uid="{F67154F0-020D-4304-AB93-D4779237A618}"/>
    <cellStyle name="Percent 5 7 3" xfId="697" xr:uid="{B167DAEB-2E82-44AB-9EF2-1C16F05E142C}"/>
    <cellStyle name="Percent 5 8" xfId="217" xr:uid="{7497C673-3782-48DF-8B4A-3896DF86C9A9}"/>
    <cellStyle name="Percent 5 8 2" xfId="522" xr:uid="{B9DE48C9-8D8F-4605-B1EC-B167424F0479}"/>
    <cellStyle name="Percent 5 8 2 2" xfId="886" xr:uid="{EC8FBCC7-EF36-42A8-BAC8-A42CF0E3AFE3}"/>
    <cellStyle name="Percent 5 8 3" xfId="698" xr:uid="{3E97FBFB-9FB9-43B4-AA9D-B420BDE538AF}"/>
    <cellStyle name="Percent 5 9" xfId="523" xr:uid="{0EBE1DC7-FD3D-4F42-8D42-5C20749A1727}"/>
    <cellStyle name="Percent 5 9 2" xfId="887" xr:uid="{0B5CA0EB-291E-4388-8B36-C22784344EFE}"/>
    <cellStyle name="Percent 6" xfId="336" xr:uid="{3FC16BEB-C7E3-44FE-9AA5-44B86B9B2097}"/>
    <cellStyle name="Percent 7" xfId="531" xr:uid="{5C4C279D-4C9A-4A40-A6B0-95EEC4EB1D04}"/>
    <cellStyle name="Percent 8" xfId="896" xr:uid="{4B6AC7D4-CBED-4234-AEB5-61D34159C217}"/>
    <cellStyle name="Percent 9" xfId="337" xr:uid="{4DC1D95A-12D5-4943-B2D2-62DCB6519E40}"/>
    <cellStyle name="Total 2" xfId="338" xr:uid="{83BEAE2B-72F9-4FE2-86E2-96B53F399CE2}"/>
    <cellStyle name="Warning Text 2" xfId="339" xr:uid="{1FC4DC87-4547-4129-ADD2-02B33DF0B430}"/>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28575</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28575</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6" name="Text Box 5" hidden="1">
          <a:extLst>
            <a:ext uri="{FF2B5EF4-FFF2-40B4-BE49-F238E27FC236}">
              <a16:creationId xmlns:a16="http://schemas.microsoft.com/office/drawing/2014/main" id="{13659BFF-9669-B3C6-2B10-1228CFF2647B}"/>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7" name="Text Box 4" hidden="1">
          <a:extLst>
            <a:ext uri="{FF2B5EF4-FFF2-40B4-BE49-F238E27FC236}">
              <a16:creationId xmlns:a16="http://schemas.microsoft.com/office/drawing/2014/main" id="{AAFE44A8-4598-4579-92C0-8E7860CA7DE9}"/>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6" name="Text Box 10" hidden="1">
          <a:extLst>
            <a:ext uri="{FF2B5EF4-FFF2-40B4-BE49-F238E27FC236}">
              <a16:creationId xmlns:a16="http://schemas.microsoft.com/office/drawing/2014/main" id="{06E844B6-84DF-6E8B-D2CF-2A2B22B75DE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40" name="Text Box 180" hidden="1">
          <a:extLst>
            <a:ext uri="{FF2B5EF4-FFF2-40B4-BE49-F238E27FC236}">
              <a16:creationId xmlns:a16="http://schemas.microsoft.com/office/drawing/2014/main" id="{28EA635F-5A32-A4D2-1C0B-FD71DB6C1E57}"/>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39" name="Text Box 179" hidden="1">
          <a:extLst>
            <a:ext uri="{FF2B5EF4-FFF2-40B4-BE49-F238E27FC236}">
              <a16:creationId xmlns:a16="http://schemas.microsoft.com/office/drawing/2014/main" id="{6CBD67B2-56E5-43B3-7CCE-319DEC714873}"/>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38" name="Text Box 178" hidden="1">
          <a:extLst>
            <a:ext uri="{FF2B5EF4-FFF2-40B4-BE49-F238E27FC236}">
              <a16:creationId xmlns:a16="http://schemas.microsoft.com/office/drawing/2014/main" id="{2752CCDE-4AFD-C7DE-CC0A-07BF069B8D46}"/>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37" name="Text Box 177" hidden="1">
          <a:extLst>
            <a:ext uri="{FF2B5EF4-FFF2-40B4-BE49-F238E27FC236}">
              <a16:creationId xmlns:a16="http://schemas.microsoft.com/office/drawing/2014/main" id="{64C0CA45-FE5F-9C07-6E0B-1C7AA86F38AD}"/>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36" name="Text Box 176" hidden="1">
          <a:extLst>
            <a:ext uri="{FF2B5EF4-FFF2-40B4-BE49-F238E27FC236}">
              <a16:creationId xmlns:a16="http://schemas.microsoft.com/office/drawing/2014/main" id="{31BEF7A3-295E-9588-7E28-FF1A87E648C4}"/>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35" name="Text Box 175" hidden="1">
          <a:extLst>
            <a:ext uri="{FF2B5EF4-FFF2-40B4-BE49-F238E27FC236}">
              <a16:creationId xmlns:a16="http://schemas.microsoft.com/office/drawing/2014/main" id="{2AA10193-A78E-825A-DAFC-BCF3B4E396CF}"/>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34" name="Text Box 174" hidden="1">
          <a:extLst>
            <a:ext uri="{FF2B5EF4-FFF2-40B4-BE49-F238E27FC236}">
              <a16:creationId xmlns:a16="http://schemas.microsoft.com/office/drawing/2014/main" id="{F6C9482F-16E9-CDF5-9325-D2315E7F1802}"/>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33" name="Text Box 173" hidden="1">
          <a:extLst>
            <a:ext uri="{FF2B5EF4-FFF2-40B4-BE49-F238E27FC236}">
              <a16:creationId xmlns:a16="http://schemas.microsoft.com/office/drawing/2014/main" id="{0B07AF2F-1132-09D5-AF81-9156ED97E2F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32" name="Text Box 172" hidden="1">
          <a:extLst>
            <a:ext uri="{FF2B5EF4-FFF2-40B4-BE49-F238E27FC236}">
              <a16:creationId xmlns:a16="http://schemas.microsoft.com/office/drawing/2014/main" id="{61D4D838-9C5F-F9CF-8F00-23F4856CA9C5}"/>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31" name="Text Box 171" hidden="1">
          <a:extLst>
            <a:ext uri="{FF2B5EF4-FFF2-40B4-BE49-F238E27FC236}">
              <a16:creationId xmlns:a16="http://schemas.microsoft.com/office/drawing/2014/main" id="{5AAAE54D-4006-57D7-3A56-2C515FAA522F}"/>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30" name="Text Box 170" hidden="1">
          <a:extLst>
            <a:ext uri="{FF2B5EF4-FFF2-40B4-BE49-F238E27FC236}">
              <a16:creationId xmlns:a16="http://schemas.microsoft.com/office/drawing/2014/main" id="{FBC4E487-2049-D07B-3B53-A4BE9E8FCCB9}"/>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29" name="Text Box 169" hidden="1">
          <a:extLst>
            <a:ext uri="{FF2B5EF4-FFF2-40B4-BE49-F238E27FC236}">
              <a16:creationId xmlns:a16="http://schemas.microsoft.com/office/drawing/2014/main" id="{D993DE9A-CF9D-5807-48CE-B960072516DA}"/>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28" name="Text Box 168" hidden="1">
          <a:extLst>
            <a:ext uri="{FF2B5EF4-FFF2-40B4-BE49-F238E27FC236}">
              <a16:creationId xmlns:a16="http://schemas.microsoft.com/office/drawing/2014/main" id="{9145D250-2B9C-CD8E-F916-E38B0395AC19}"/>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27" name="Text Box 167" hidden="1">
          <a:extLst>
            <a:ext uri="{FF2B5EF4-FFF2-40B4-BE49-F238E27FC236}">
              <a16:creationId xmlns:a16="http://schemas.microsoft.com/office/drawing/2014/main" id="{0A19F514-E1C8-ED6B-45A5-AFAA0C7EF6C1}"/>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26" name="Text Box 166" hidden="1">
          <a:extLst>
            <a:ext uri="{FF2B5EF4-FFF2-40B4-BE49-F238E27FC236}">
              <a16:creationId xmlns:a16="http://schemas.microsoft.com/office/drawing/2014/main" id="{B5BDBDA7-A8A8-7B4D-1106-A606969ACE78}"/>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25" name="Text Box 165" hidden="1">
          <a:extLst>
            <a:ext uri="{FF2B5EF4-FFF2-40B4-BE49-F238E27FC236}">
              <a16:creationId xmlns:a16="http://schemas.microsoft.com/office/drawing/2014/main" id="{A2E5BCA1-94CB-4B25-5491-904333FDD4BF}"/>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24" name="Text Box 164" hidden="1">
          <a:extLst>
            <a:ext uri="{FF2B5EF4-FFF2-40B4-BE49-F238E27FC236}">
              <a16:creationId xmlns:a16="http://schemas.microsoft.com/office/drawing/2014/main" id="{3BC07E72-65F9-2077-1C98-383C6C566CA7}"/>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23" name="Text Box 163" hidden="1">
          <a:extLst>
            <a:ext uri="{FF2B5EF4-FFF2-40B4-BE49-F238E27FC236}">
              <a16:creationId xmlns:a16="http://schemas.microsoft.com/office/drawing/2014/main" id="{7982D449-FBB1-62B9-EB71-E35C6F1A825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5004" name="Text Box 220" hidden="1">
          <a:extLst>
            <a:ext uri="{FF2B5EF4-FFF2-40B4-BE49-F238E27FC236}">
              <a16:creationId xmlns:a16="http://schemas.microsoft.com/office/drawing/2014/main" id="{E50A8CD5-BEC5-9C2A-2554-7AC7B812DB85}"/>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5003" name="Text Box 219" hidden="1">
          <a:extLst>
            <a:ext uri="{FF2B5EF4-FFF2-40B4-BE49-F238E27FC236}">
              <a16:creationId xmlns:a16="http://schemas.microsoft.com/office/drawing/2014/main" id="{E75EFA7B-81A2-0724-4B1C-330D2D4F1AE6}"/>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5002" name="Text Box 218" hidden="1">
          <a:extLst>
            <a:ext uri="{FF2B5EF4-FFF2-40B4-BE49-F238E27FC236}">
              <a16:creationId xmlns:a16="http://schemas.microsoft.com/office/drawing/2014/main" id="{1B18B05C-BC38-70F8-2AC6-E197B01CC869}"/>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5001" name="Text Box 217" hidden="1">
          <a:extLst>
            <a:ext uri="{FF2B5EF4-FFF2-40B4-BE49-F238E27FC236}">
              <a16:creationId xmlns:a16="http://schemas.microsoft.com/office/drawing/2014/main" id="{5E9DC26A-F815-00E5-DA04-970AF5D8E0F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5000" name="Text Box 216" hidden="1">
          <a:extLst>
            <a:ext uri="{FF2B5EF4-FFF2-40B4-BE49-F238E27FC236}">
              <a16:creationId xmlns:a16="http://schemas.microsoft.com/office/drawing/2014/main" id="{8291EDB2-DF17-D787-D4CF-86BB06DEBD2E}"/>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99" name="Text Box 215" hidden="1">
          <a:extLst>
            <a:ext uri="{FF2B5EF4-FFF2-40B4-BE49-F238E27FC236}">
              <a16:creationId xmlns:a16="http://schemas.microsoft.com/office/drawing/2014/main" id="{350B5473-34B9-4AD9-96C6-E3626D33BA4F}"/>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98" name="Text Box 214" hidden="1">
          <a:extLst>
            <a:ext uri="{FF2B5EF4-FFF2-40B4-BE49-F238E27FC236}">
              <a16:creationId xmlns:a16="http://schemas.microsoft.com/office/drawing/2014/main" id="{00F21229-A1CD-C4B8-3A55-21AD06E7F789}"/>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97" name="Text Box 213" hidden="1">
          <a:extLst>
            <a:ext uri="{FF2B5EF4-FFF2-40B4-BE49-F238E27FC236}">
              <a16:creationId xmlns:a16="http://schemas.microsoft.com/office/drawing/2014/main" id="{DDDD674C-AB70-C2A4-3452-A838D7961FFA}"/>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96" name="Text Box 212" hidden="1">
          <a:extLst>
            <a:ext uri="{FF2B5EF4-FFF2-40B4-BE49-F238E27FC236}">
              <a16:creationId xmlns:a16="http://schemas.microsoft.com/office/drawing/2014/main" id="{556B852C-B55F-6143-8D10-FA020C7B835B}"/>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95" name="Text Box 211" hidden="1">
          <a:extLst>
            <a:ext uri="{FF2B5EF4-FFF2-40B4-BE49-F238E27FC236}">
              <a16:creationId xmlns:a16="http://schemas.microsoft.com/office/drawing/2014/main" id="{F8DF5D3E-3FB8-2A80-E163-9FCBB2C87C3B}"/>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94" name="Text Box 210" hidden="1">
          <a:extLst>
            <a:ext uri="{FF2B5EF4-FFF2-40B4-BE49-F238E27FC236}">
              <a16:creationId xmlns:a16="http://schemas.microsoft.com/office/drawing/2014/main" id="{60D7881C-F2A2-0FB2-CB4A-48056B803D19}"/>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93" name="Text Box 209" hidden="1">
          <a:extLst>
            <a:ext uri="{FF2B5EF4-FFF2-40B4-BE49-F238E27FC236}">
              <a16:creationId xmlns:a16="http://schemas.microsoft.com/office/drawing/2014/main" id="{A7490B50-E11F-8CB6-136F-EDC0F855551C}"/>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92" name="Text Box 208" hidden="1">
          <a:extLst>
            <a:ext uri="{FF2B5EF4-FFF2-40B4-BE49-F238E27FC236}">
              <a16:creationId xmlns:a16="http://schemas.microsoft.com/office/drawing/2014/main" id="{BF81FC27-CF06-CE92-14C6-85302198488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91" name="Text Box 207" hidden="1">
          <a:extLst>
            <a:ext uri="{FF2B5EF4-FFF2-40B4-BE49-F238E27FC236}">
              <a16:creationId xmlns:a16="http://schemas.microsoft.com/office/drawing/2014/main" id="{647D4BF4-8752-FE3A-8C1B-FC594244DE18}"/>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90" name="Text Box 206" hidden="1">
          <a:extLst>
            <a:ext uri="{FF2B5EF4-FFF2-40B4-BE49-F238E27FC236}">
              <a16:creationId xmlns:a16="http://schemas.microsoft.com/office/drawing/2014/main" id="{51E486F8-69AB-EE6C-4720-0937EFEEAC89}"/>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89" name="Text Box 205" hidden="1">
          <a:extLst>
            <a:ext uri="{FF2B5EF4-FFF2-40B4-BE49-F238E27FC236}">
              <a16:creationId xmlns:a16="http://schemas.microsoft.com/office/drawing/2014/main" id="{958D9761-1CC4-54EE-A957-5E5E95BF2AA3}"/>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88" name="Text Box 204" hidden="1">
          <a:extLst>
            <a:ext uri="{FF2B5EF4-FFF2-40B4-BE49-F238E27FC236}">
              <a16:creationId xmlns:a16="http://schemas.microsoft.com/office/drawing/2014/main" id="{77777B49-0631-0734-8DA8-A3EE0E367929}"/>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87" name="Text Box 203" hidden="1">
          <a:extLst>
            <a:ext uri="{FF2B5EF4-FFF2-40B4-BE49-F238E27FC236}">
              <a16:creationId xmlns:a16="http://schemas.microsoft.com/office/drawing/2014/main" id="{4BE36D5D-2CF7-213C-CD42-ACF20D8F062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86" name="Text Box 202" hidden="1">
          <a:extLst>
            <a:ext uri="{FF2B5EF4-FFF2-40B4-BE49-F238E27FC236}">
              <a16:creationId xmlns:a16="http://schemas.microsoft.com/office/drawing/2014/main" id="{7131FCB1-61A4-8256-428B-EE32D8FA57EE}"/>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85" name="Text Box 201" hidden="1">
          <a:extLst>
            <a:ext uri="{FF2B5EF4-FFF2-40B4-BE49-F238E27FC236}">
              <a16:creationId xmlns:a16="http://schemas.microsoft.com/office/drawing/2014/main" id="{C043C0D2-E6B7-AD07-0593-B9CC403E83FB}"/>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84" name="Text Box 200" hidden="1">
          <a:extLst>
            <a:ext uri="{FF2B5EF4-FFF2-40B4-BE49-F238E27FC236}">
              <a16:creationId xmlns:a16="http://schemas.microsoft.com/office/drawing/2014/main" id="{F84A60DF-4D75-9CF4-246F-3A1AE816A2D7}"/>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83" name="Text Box 199" hidden="1">
          <a:extLst>
            <a:ext uri="{FF2B5EF4-FFF2-40B4-BE49-F238E27FC236}">
              <a16:creationId xmlns:a16="http://schemas.microsoft.com/office/drawing/2014/main" id="{2BB34790-1941-C314-B725-74BA76B48EA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84923</xdr:rowOff>
    </xdr:from>
    <xdr:to>
      <xdr:col>5</xdr:col>
      <xdr:colOff>190500</xdr:colOff>
      <xdr:row>80</xdr:row>
      <xdr:rowOff>83242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160471</xdr:rowOff>
    </xdr:from>
    <xdr:to>
      <xdr:col>5</xdr:col>
      <xdr:colOff>190500</xdr:colOff>
      <xdr:row>81</xdr:row>
      <xdr:rowOff>90856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178514</xdr:rowOff>
    </xdr:from>
    <xdr:to>
      <xdr:col>5</xdr:col>
      <xdr:colOff>190500</xdr:colOff>
      <xdr:row>82</xdr:row>
      <xdr:rowOff>62696</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35037</xdr:rowOff>
    </xdr:from>
    <xdr:to>
      <xdr:col>5</xdr:col>
      <xdr:colOff>190500</xdr:colOff>
      <xdr:row>83</xdr:row>
      <xdr:rowOff>178370</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80050</xdr:rowOff>
    </xdr:from>
    <xdr:to>
      <xdr:col>5</xdr:col>
      <xdr:colOff>190500</xdr:colOff>
      <xdr:row>130</xdr:row>
      <xdr:rowOff>12002</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175337</xdr:rowOff>
    </xdr:from>
    <xdr:to>
      <xdr:col>5</xdr:col>
      <xdr:colOff>190500</xdr:colOff>
      <xdr:row>114</xdr:row>
      <xdr:rowOff>147791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99993</xdr:rowOff>
    </xdr:from>
    <xdr:to>
      <xdr:col>5</xdr:col>
      <xdr:colOff>190500</xdr:colOff>
      <xdr:row>75</xdr:row>
      <xdr:rowOff>102975</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99993</xdr:rowOff>
    </xdr:from>
    <xdr:to>
      <xdr:col>5</xdr:col>
      <xdr:colOff>190500</xdr:colOff>
      <xdr:row>70</xdr:row>
      <xdr:rowOff>33309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99993</xdr:rowOff>
    </xdr:from>
    <xdr:to>
      <xdr:col>5</xdr:col>
      <xdr:colOff>190500</xdr:colOff>
      <xdr:row>63</xdr:row>
      <xdr:rowOff>282227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454262</xdr:rowOff>
    </xdr:from>
    <xdr:to>
      <xdr:col>5</xdr:col>
      <xdr:colOff>190500</xdr:colOff>
      <xdr:row>63</xdr:row>
      <xdr:rowOff>168394</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35303</xdr:rowOff>
    </xdr:from>
    <xdr:to>
      <xdr:col>5</xdr:col>
      <xdr:colOff>190500</xdr:colOff>
      <xdr:row>62</xdr:row>
      <xdr:rowOff>352302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103</xdr:row>
      <xdr:rowOff>217033</xdr:rowOff>
    </xdr:from>
    <xdr:to>
      <xdr:col>6</xdr:col>
      <xdr:colOff>38100</xdr:colOff>
      <xdr:row>112</xdr:row>
      <xdr:rowOff>83098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147217</xdr:rowOff>
    </xdr:from>
    <xdr:to>
      <xdr:col>5</xdr:col>
      <xdr:colOff>190500</xdr:colOff>
      <xdr:row>62</xdr:row>
      <xdr:rowOff>362856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155291</xdr:rowOff>
    </xdr:from>
    <xdr:to>
      <xdr:col>5</xdr:col>
      <xdr:colOff>190500</xdr:colOff>
      <xdr:row>63</xdr:row>
      <xdr:rowOff>54257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202018</xdr:rowOff>
    </xdr:from>
    <xdr:to>
      <xdr:col>5</xdr:col>
      <xdr:colOff>190500</xdr:colOff>
      <xdr:row>63</xdr:row>
      <xdr:rowOff>273519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415209</xdr:rowOff>
    </xdr:from>
    <xdr:to>
      <xdr:col>5</xdr:col>
      <xdr:colOff>190500</xdr:colOff>
      <xdr:row>64</xdr:row>
      <xdr:rowOff>78179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43664</xdr:rowOff>
    </xdr:from>
    <xdr:to>
      <xdr:col>5</xdr:col>
      <xdr:colOff>190500</xdr:colOff>
      <xdr:row>109</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28965</xdr:rowOff>
    </xdr:from>
    <xdr:to>
      <xdr:col>5</xdr:col>
      <xdr:colOff>190500</xdr:colOff>
      <xdr:row>96</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60</xdr:row>
      <xdr:rowOff>12688</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55</xdr:row>
      <xdr:rowOff>95151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41405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47083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117020</xdr:rowOff>
    </xdr:from>
    <xdr:to>
      <xdr:col>6</xdr:col>
      <xdr:colOff>38100</xdr:colOff>
      <xdr:row>94</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77</xdr:row>
      <xdr:rowOff>331154</xdr:rowOff>
    </xdr:from>
    <xdr:to>
      <xdr:col>5</xdr:col>
      <xdr:colOff>190500</xdr:colOff>
      <xdr:row>83</xdr:row>
      <xdr:rowOff>64912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122080</xdr:rowOff>
    </xdr:from>
    <xdr:to>
      <xdr:col>5</xdr:col>
      <xdr:colOff>190500</xdr:colOff>
      <xdr:row>84</xdr:row>
      <xdr:rowOff>43814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128909</xdr:rowOff>
    </xdr:from>
    <xdr:to>
      <xdr:col>5</xdr:col>
      <xdr:colOff>190500</xdr:colOff>
      <xdr:row>84</xdr:row>
      <xdr:rowOff>177291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33091</xdr:rowOff>
    </xdr:from>
    <xdr:to>
      <xdr:col>5</xdr:col>
      <xdr:colOff>190500</xdr:colOff>
      <xdr:row>85</xdr:row>
      <xdr:rowOff>126454</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42546</xdr:rowOff>
    </xdr:from>
    <xdr:to>
      <xdr:col>5</xdr:col>
      <xdr:colOff>190500</xdr:colOff>
      <xdr:row>121</xdr:row>
      <xdr:rowOff>66873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121</xdr:rowOff>
    </xdr:from>
    <xdr:to>
      <xdr:col>5</xdr:col>
      <xdr:colOff>190500</xdr:colOff>
      <xdr:row>80</xdr:row>
      <xdr:rowOff>21503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344652</xdr:rowOff>
    </xdr:from>
    <xdr:to>
      <xdr:col>5</xdr:col>
      <xdr:colOff>190500</xdr:colOff>
      <xdr:row>75</xdr:row>
      <xdr:rowOff>66477</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203651</xdr:rowOff>
    </xdr:from>
    <xdr:to>
      <xdr:col>5</xdr:col>
      <xdr:colOff>190500</xdr:colOff>
      <xdr:row>68</xdr:row>
      <xdr:rowOff>65841</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121944</xdr:rowOff>
    </xdr:from>
    <xdr:to>
      <xdr:col>5</xdr:col>
      <xdr:colOff>190500</xdr:colOff>
      <xdr:row>67</xdr:row>
      <xdr:rowOff>164004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120050</xdr:rowOff>
    </xdr:from>
    <xdr:to>
      <xdr:col>5</xdr:col>
      <xdr:colOff>190500</xdr:colOff>
      <xdr:row>66</xdr:row>
      <xdr:rowOff>120050</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42546</xdr:rowOff>
    </xdr:from>
    <xdr:to>
      <xdr:col>6</xdr:col>
      <xdr:colOff>38100</xdr:colOff>
      <xdr:row>119</xdr:row>
      <xdr:rowOff>111224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51784</xdr:rowOff>
    </xdr:from>
    <xdr:to>
      <xdr:col>17</xdr:col>
      <xdr:colOff>562769</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92327</xdr:rowOff>
    </xdr:from>
    <xdr:to>
      <xdr:col>18</xdr:col>
      <xdr:colOff>582348</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100212</xdr:rowOff>
    </xdr:from>
    <xdr:to>
      <xdr:col>5</xdr:col>
      <xdr:colOff>190500</xdr:colOff>
      <xdr:row>96</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100212</xdr:rowOff>
    </xdr:from>
    <xdr:to>
      <xdr:col>6</xdr:col>
      <xdr:colOff>38100</xdr:colOff>
      <xdr:row>94</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100212</xdr:rowOff>
    </xdr:from>
    <xdr:to>
      <xdr:col>5</xdr:col>
      <xdr:colOff>190500</xdr:colOff>
      <xdr:row>96</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100212</xdr:rowOff>
    </xdr:from>
    <xdr:to>
      <xdr:col>6</xdr:col>
      <xdr:colOff>38100</xdr:colOff>
      <xdr:row>94</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80368</xdr:rowOff>
    </xdr:from>
    <xdr:to>
      <xdr:col>5</xdr:col>
      <xdr:colOff>190500</xdr:colOff>
      <xdr:row>96</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100212</xdr:rowOff>
    </xdr:from>
    <xdr:to>
      <xdr:col>6</xdr:col>
      <xdr:colOff>38100</xdr:colOff>
      <xdr:row>94</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80368</xdr:rowOff>
    </xdr:from>
    <xdr:to>
      <xdr:col>5</xdr:col>
      <xdr:colOff>190500</xdr:colOff>
      <xdr:row>96</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80368</xdr:rowOff>
    </xdr:from>
    <xdr:to>
      <xdr:col>6</xdr:col>
      <xdr:colOff>38100</xdr:colOff>
      <xdr:row>94</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24075</xdr:rowOff>
    </xdr:from>
    <xdr:to>
      <xdr:col>5</xdr:col>
      <xdr:colOff>640715</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81526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185854</xdr:rowOff>
    </xdr:from>
    <xdr:to>
      <xdr:col>5</xdr:col>
      <xdr:colOff>640715</xdr:colOff>
      <xdr:row>64</xdr:row>
      <xdr:rowOff>181375</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344863</xdr:rowOff>
    </xdr:from>
    <xdr:to>
      <xdr:col>5</xdr:col>
      <xdr:colOff>640715</xdr:colOff>
      <xdr:row>65</xdr:row>
      <xdr:rowOff>121520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28554</xdr:rowOff>
    </xdr:from>
    <xdr:to>
      <xdr:col>5</xdr:col>
      <xdr:colOff>640715</xdr:colOff>
      <xdr:row>66</xdr:row>
      <xdr:rowOff>157725</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292326</xdr:rowOff>
    </xdr:from>
    <xdr:to>
      <xdr:col>5</xdr:col>
      <xdr:colOff>640715</xdr:colOff>
      <xdr:row>67</xdr:row>
      <xdr:rowOff>163698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178248</xdr:rowOff>
    </xdr:from>
    <xdr:to>
      <xdr:col>5</xdr:col>
      <xdr:colOff>640715</xdr:colOff>
      <xdr:row>87</xdr:row>
      <xdr:rowOff>130292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640715</xdr:colOff>
      <xdr:row>91</xdr:row>
      <xdr:rowOff>116338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24075</xdr:rowOff>
    </xdr:from>
    <xdr:to>
      <xdr:col>5</xdr:col>
      <xdr:colOff>640715</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81526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185854</xdr:rowOff>
    </xdr:from>
    <xdr:to>
      <xdr:col>5</xdr:col>
      <xdr:colOff>640715</xdr:colOff>
      <xdr:row>64</xdr:row>
      <xdr:rowOff>181375</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344863</xdr:rowOff>
    </xdr:from>
    <xdr:to>
      <xdr:col>5</xdr:col>
      <xdr:colOff>640715</xdr:colOff>
      <xdr:row>65</xdr:row>
      <xdr:rowOff>121520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28554</xdr:rowOff>
    </xdr:from>
    <xdr:to>
      <xdr:col>5</xdr:col>
      <xdr:colOff>640715</xdr:colOff>
      <xdr:row>66</xdr:row>
      <xdr:rowOff>157725</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292326</xdr:rowOff>
    </xdr:from>
    <xdr:to>
      <xdr:col>5</xdr:col>
      <xdr:colOff>640715</xdr:colOff>
      <xdr:row>67</xdr:row>
      <xdr:rowOff>163698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178248</xdr:rowOff>
    </xdr:from>
    <xdr:to>
      <xdr:col>5</xdr:col>
      <xdr:colOff>640715</xdr:colOff>
      <xdr:row>87</xdr:row>
      <xdr:rowOff>130292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640715</xdr:colOff>
      <xdr:row>91</xdr:row>
      <xdr:rowOff>116338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640715</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61417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640715</xdr:colOff>
      <xdr:row>64</xdr:row>
      <xdr:rowOff>181375</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640715</xdr:colOff>
      <xdr:row>65</xdr:row>
      <xdr:rowOff>121520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640715</xdr:colOff>
      <xdr:row>66</xdr:row>
      <xdr:rowOff>157725</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640715</xdr:colOff>
      <xdr:row>67</xdr:row>
      <xdr:rowOff>163698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640715</xdr:colOff>
      <xdr:row>87</xdr:row>
      <xdr:rowOff>130292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640715</xdr:colOff>
      <xdr:row>91</xdr:row>
      <xdr:rowOff>116338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61417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609600</xdr:colOff>
      <xdr:row>64</xdr:row>
      <xdr:rowOff>181375</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609600</xdr:colOff>
      <xdr:row>65</xdr:row>
      <xdr:rowOff>121520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609600</xdr:colOff>
      <xdr:row>66</xdr:row>
      <xdr:rowOff>157725</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609600</xdr:colOff>
      <xdr:row>67</xdr:row>
      <xdr:rowOff>163698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609600</xdr:colOff>
      <xdr:row>91</xdr:row>
      <xdr:rowOff>116338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61417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609600</xdr:colOff>
      <xdr:row>64</xdr:row>
      <xdr:rowOff>181375</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609600</xdr:colOff>
      <xdr:row>65</xdr:row>
      <xdr:rowOff>121520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609600</xdr:colOff>
      <xdr:row>66</xdr:row>
      <xdr:rowOff>157725</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609600</xdr:colOff>
      <xdr:row>67</xdr:row>
      <xdr:rowOff>163698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609600</xdr:colOff>
      <xdr:row>91</xdr:row>
      <xdr:rowOff>116338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61417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609600</xdr:colOff>
      <xdr:row>64</xdr:row>
      <xdr:rowOff>181375</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609600</xdr:colOff>
      <xdr:row>65</xdr:row>
      <xdr:rowOff>121520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609600</xdr:colOff>
      <xdr:row>66</xdr:row>
      <xdr:rowOff>157725</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609600</xdr:colOff>
      <xdr:row>67</xdr:row>
      <xdr:rowOff>163698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609600</xdr:colOff>
      <xdr:row>91</xdr:row>
      <xdr:rowOff>116338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41462</xdr:rowOff>
    </xdr:from>
    <xdr:to>
      <xdr:col>6</xdr:col>
      <xdr:colOff>38100</xdr:colOff>
      <xdr:row>97</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84954</xdr:rowOff>
    </xdr:from>
    <xdr:to>
      <xdr:col>5</xdr:col>
      <xdr:colOff>609600</xdr:colOff>
      <xdr:row>54</xdr:row>
      <xdr:rowOff>60826</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24313</xdr:rowOff>
    </xdr:from>
    <xdr:to>
      <xdr:col>5</xdr:col>
      <xdr:colOff>609600</xdr:colOff>
      <xdr:row>54</xdr:row>
      <xdr:rowOff>123532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51</xdr:row>
      <xdr:rowOff>174629</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129173</xdr:rowOff>
    </xdr:from>
    <xdr:to>
      <xdr:col>5</xdr:col>
      <xdr:colOff>609600</xdr:colOff>
      <xdr:row>52</xdr:row>
      <xdr:rowOff>52161</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123436</xdr:rowOff>
    </xdr:from>
    <xdr:to>
      <xdr:col>5</xdr:col>
      <xdr:colOff>609600</xdr:colOff>
      <xdr:row>53</xdr:row>
      <xdr:rowOff>109446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21071</xdr:rowOff>
    </xdr:from>
    <xdr:to>
      <xdr:col>5</xdr:col>
      <xdr:colOff>609600</xdr:colOff>
      <xdr:row>68</xdr:row>
      <xdr:rowOff>85314</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4856</xdr:rowOff>
    </xdr:from>
    <xdr:to>
      <xdr:col>5</xdr:col>
      <xdr:colOff>609600</xdr:colOff>
      <xdr:row>69</xdr:row>
      <xdr:rowOff>66852</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67176</xdr:rowOff>
    </xdr:from>
    <xdr:to>
      <xdr:col>5</xdr:col>
      <xdr:colOff>609600</xdr:colOff>
      <xdr:row>69</xdr:row>
      <xdr:rowOff>189175</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63614</xdr:rowOff>
    </xdr:from>
    <xdr:to>
      <xdr:col>5</xdr:col>
      <xdr:colOff>609600</xdr:colOff>
      <xdr:row>70</xdr:row>
      <xdr:rowOff>181529</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160937</xdr:rowOff>
    </xdr:from>
    <xdr:to>
      <xdr:col>5</xdr:col>
      <xdr:colOff>609600</xdr:colOff>
      <xdr:row>91</xdr:row>
      <xdr:rowOff>138487</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138487</xdr:rowOff>
    </xdr:from>
    <xdr:to>
      <xdr:col>5</xdr:col>
      <xdr:colOff>609600</xdr:colOff>
      <xdr:row>99</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138487</xdr:rowOff>
    </xdr:from>
    <xdr:to>
      <xdr:col>5</xdr:col>
      <xdr:colOff>609600</xdr:colOff>
      <xdr:row>97</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60655</xdr:rowOff>
    </xdr:from>
    <xdr:to>
      <xdr:col>6</xdr:col>
      <xdr:colOff>69215</xdr:colOff>
      <xdr:row>120</xdr:row>
      <xdr:rowOff>83542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118992</xdr:rowOff>
    </xdr:from>
    <xdr:to>
      <xdr:col>5</xdr:col>
      <xdr:colOff>609600</xdr:colOff>
      <xdr:row>79</xdr:row>
      <xdr:rowOff>102361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114343</xdr:rowOff>
    </xdr:from>
    <xdr:to>
      <xdr:col>5</xdr:col>
      <xdr:colOff>640715</xdr:colOff>
      <xdr:row>77</xdr:row>
      <xdr:rowOff>264665</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177623</xdr:rowOff>
    </xdr:from>
    <xdr:to>
      <xdr:col>5</xdr:col>
      <xdr:colOff>609600</xdr:colOff>
      <xdr:row>72</xdr:row>
      <xdr:rowOff>21003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182298</xdr:rowOff>
    </xdr:from>
    <xdr:to>
      <xdr:col>5</xdr:col>
      <xdr:colOff>609600</xdr:colOff>
      <xdr:row>72</xdr:row>
      <xdr:rowOff>126066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170146</xdr:rowOff>
    </xdr:from>
    <xdr:to>
      <xdr:col>5</xdr:col>
      <xdr:colOff>609600</xdr:colOff>
      <xdr:row>73</xdr:row>
      <xdr:rowOff>85452</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86</xdr:row>
      <xdr:rowOff>141905</xdr:rowOff>
    </xdr:from>
    <xdr:to>
      <xdr:col>5</xdr:col>
      <xdr:colOff>609600</xdr:colOff>
      <xdr:row>91</xdr:row>
      <xdr:rowOff>129736</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150716</xdr:rowOff>
    </xdr:from>
    <xdr:to>
      <xdr:col>5</xdr:col>
      <xdr:colOff>609600</xdr:colOff>
      <xdr:row>92</xdr:row>
      <xdr:rowOff>88511</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149975</xdr:rowOff>
    </xdr:from>
    <xdr:to>
      <xdr:col>5</xdr:col>
      <xdr:colOff>609600</xdr:colOff>
      <xdr:row>93</xdr:row>
      <xdr:rowOff>97802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37816</xdr:rowOff>
    </xdr:from>
    <xdr:to>
      <xdr:col>5</xdr:col>
      <xdr:colOff>609600</xdr:colOff>
      <xdr:row>94</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16667</xdr:rowOff>
    </xdr:from>
    <xdr:to>
      <xdr:col>5</xdr:col>
      <xdr:colOff>609600</xdr:colOff>
      <xdr:row>114</xdr:row>
      <xdr:rowOff>16751</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186531</xdr:rowOff>
    </xdr:from>
    <xdr:to>
      <xdr:col>5</xdr:col>
      <xdr:colOff>609600</xdr:colOff>
      <xdr:row>137</xdr:row>
      <xdr:rowOff>167319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186531</xdr:rowOff>
    </xdr:from>
    <xdr:to>
      <xdr:col>5</xdr:col>
      <xdr:colOff>609600</xdr:colOff>
      <xdr:row>136</xdr:row>
      <xdr:rowOff>58521</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137977</xdr:rowOff>
    </xdr:from>
    <xdr:to>
      <xdr:col>6</xdr:col>
      <xdr:colOff>57150</xdr:colOff>
      <xdr:row>125</xdr:row>
      <xdr:rowOff>153743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104598</xdr:rowOff>
    </xdr:from>
    <xdr:to>
      <xdr:col>5</xdr:col>
      <xdr:colOff>628650</xdr:colOff>
      <xdr:row>83</xdr:row>
      <xdr:rowOff>35701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199848</xdr:rowOff>
    </xdr:from>
    <xdr:to>
      <xdr:col>5</xdr:col>
      <xdr:colOff>628650</xdr:colOff>
      <xdr:row>83</xdr:row>
      <xdr:rowOff>21966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137685</xdr:rowOff>
    </xdr:from>
    <xdr:to>
      <xdr:col>5</xdr:col>
      <xdr:colOff>628650</xdr:colOff>
      <xdr:row>74</xdr:row>
      <xdr:rowOff>160351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124190</xdr:rowOff>
    </xdr:from>
    <xdr:to>
      <xdr:col>5</xdr:col>
      <xdr:colOff>628650</xdr:colOff>
      <xdr:row>74</xdr:row>
      <xdr:rowOff>7808</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142482</xdr:rowOff>
    </xdr:from>
    <xdr:to>
      <xdr:col>5</xdr:col>
      <xdr:colOff>609600</xdr:colOff>
      <xdr:row>77</xdr:row>
      <xdr:rowOff>271862</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26747</xdr:rowOff>
    </xdr:from>
    <xdr:to>
      <xdr:col>5</xdr:col>
      <xdr:colOff>609600</xdr:colOff>
      <xdr:row>96</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29300</xdr:rowOff>
    </xdr:from>
    <xdr:to>
      <xdr:col>5</xdr:col>
      <xdr:colOff>609600</xdr:colOff>
      <xdr:row>97</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17856</xdr:rowOff>
    </xdr:from>
    <xdr:to>
      <xdr:col>5</xdr:col>
      <xdr:colOff>609600</xdr:colOff>
      <xdr:row>98</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7748</xdr:rowOff>
    </xdr:from>
    <xdr:to>
      <xdr:col>5</xdr:col>
      <xdr:colOff>609600</xdr:colOff>
      <xdr:row>99</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173364</xdr:rowOff>
    </xdr:from>
    <xdr:to>
      <xdr:col>5</xdr:col>
      <xdr:colOff>609600</xdr:colOff>
      <xdr:row>119</xdr:row>
      <xdr:rowOff>760</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183</xdr:row>
      <xdr:rowOff>169328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182</xdr:row>
      <xdr:rowOff>72629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142594</xdr:rowOff>
    </xdr:from>
    <xdr:to>
      <xdr:col>6</xdr:col>
      <xdr:colOff>57150</xdr:colOff>
      <xdr:row>102</xdr:row>
      <xdr:rowOff>231433</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32018</xdr:rowOff>
    </xdr:from>
    <xdr:to>
      <xdr:col>5</xdr:col>
      <xdr:colOff>628650</xdr:colOff>
      <xdr:row>61</xdr:row>
      <xdr:rowOff>457224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108218</xdr:rowOff>
    </xdr:from>
    <xdr:to>
      <xdr:col>5</xdr:col>
      <xdr:colOff>628650</xdr:colOff>
      <xdr:row>61</xdr:row>
      <xdr:rowOff>453697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18376</xdr:rowOff>
    </xdr:from>
    <xdr:to>
      <xdr:col>5</xdr:col>
      <xdr:colOff>628650</xdr:colOff>
      <xdr:row>57</xdr:row>
      <xdr:rowOff>48749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38436</xdr:rowOff>
    </xdr:from>
    <xdr:to>
      <xdr:col>5</xdr:col>
      <xdr:colOff>628650</xdr:colOff>
      <xdr:row>56</xdr:row>
      <xdr:rowOff>119328</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61903</xdr:rowOff>
    </xdr:from>
    <xdr:to>
      <xdr:col>5</xdr:col>
      <xdr:colOff>609600</xdr:colOff>
      <xdr:row>61</xdr:row>
      <xdr:rowOff>78392</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68460</xdr:rowOff>
    </xdr:from>
    <xdr:to>
      <xdr:col>5</xdr:col>
      <xdr:colOff>609600</xdr:colOff>
      <xdr:row>74</xdr:row>
      <xdr:rowOff>160118</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77193</xdr:rowOff>
    </xdr:from>
    <xdr:to>
      <xdr:col>5</xdr:col>
      <xdr:colOff>609600</xdr:colOff>
      <xdr:row>75</xdr:row>
      <xdr:rowOff>147125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40379</xdr:rowOff>
    </xdr:from>
    <xdr:to>
      <xdr:col>5</xdr:col>
      <xdr:colOff>609600</xdr:colOff>
      <xdr:row>76</xdr:row>
      <xdr:rowOff>160618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36945</xdr:rowOff>
    </xdr:from>
    <xdr:to>
      <xdr:col>5</xdr:col>
      <xdr:colOff>609600</xdr:colOff>
      <xdr:row>77</xdr:row>
      <xdr:rowOff>131250</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93258</xdr:rowOff>
    </xdr:from>
    <xdr:to>
      <xdr:col>5</xdr:col>
      <xdr:colOff>609600</xdr:colOff>
      <xdr:row>98</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120</xdr:row>
      <xdr:rowOff>164002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119</xdr:row>
      <xdr:rowOff>125587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104244</xdr:rowOff>
    </xdr:from>
    <xdr:to>
      <xdr:col>5</xdr:col>
      <xdr:colOff>609600</xdr:colOff>
      <xdr:row>54</xdr:row>
      <xdr:rowOff>31334</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145562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104551</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40591</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85579</xdr:rowOff>
    </xdr:from>
    <xdr:to>
      <xdr:col>5</xdr:col>
      <xdr:colOff>609600</xdr:colOff>
      <xdr:row>93</xdr:row>
      <xdr:rowOff>163302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99853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176382</xdr:rowOff>
    </xdr:from>
    <xdr:to>
      <xdr:col>5</xdr:col>
      <xdr:colOff>609600</xdr:colOff>
      <xdr:row>189</xdr:row>
      <xdr:rowOff>3585</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42249</xdr:rowOff>
    </xdr:from>
    <xdr:to>
      <xdr:col>18</xdr:col>
      <xdr:colOff>440532</xdr:colOff>
      <xdr:row>30</xdr:row>
      <xdr:rowOff>106456</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68543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104</xdr:row>
      <xdr:rowOff>184749</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39876</xdr:rowOff>
    </xdr:from>
    <xdr:to>
      <xdr:col>5</xdr:col>
      <xdr:colOff>621665</xdr:colOff>
      <xdr:row>105</xdr:row>
      <xdr:rowOff>127394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61013</xdr:rowOff>
    </xdr:from>
    <xdr:to>
      <xdr:col>5</xdr:col>
      <xdr:colOff>621665</xdr:colOff>
      <xdr:row>95</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99853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176382</xdr:rowOff>
    </xdr:from>
    <xdr:to>
      <xdr:col>5</xdr:col>
      <xdr:colOff>609600</xdr:colOff>
      <xdr:row>189</xdr:row>
      <xdr:rowOff>3585</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42249</xdr:rowOff>
    </xdr:from>
    <xdr:to>
      <xdr:col>18</xdr:col>
      <xdr:colOff>440532</xdr:colOff>
      <xdr:row>30</xdr:row>
      <xdr:rowOff>106456</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68543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104</xdr:row>
      <xdr:rowOff>184749</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39876</xdr:rowOff>
    </xdr:from>
    <xdr:to>
      <xdr:col>5</xdr:col>
      <xdr:colOff>621665</xdr:colOff>
      <xdr:row>105</xdr:row>
      <xdr:rowOff>127394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61013</xdr:rowOff>
    </xdr:from>
    <xdr:to>
      <xdr:col>5</xdr:col>
      <xdr:colOff>621665</xdr:colOff>
      <xdr:row>95</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99853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176382</xdr:rowOff>
    </xdr:from>
    <xdr:to>
      <xdr:col>5</xdr:col>
      <xdr:colOff>609600</xdr:colOff>
      <xdr:row>189</xdr:row>
      <xdr:rowOff>3585</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42249</xdr:rowOff>
    </xdr:from>
    <xdr:to>
      <xdr:col>18</xdr:col>
      <xdr:colOff>440532</xdr:colOff>
      <xdr:row>30</xdr:row>
      <xdr:rowOff>106456</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68543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104</xdr:row>
      <xdr:rowOff>184749</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39876</xdr:rowOff>
    </xdr:from>
    <xdr:to>
      <xdr:col>5</xdr:col>
      <xdr:colOff>621665</xdr:colOff>
      <xdr:row>105</xdr:row>
      <xdr:rowOff>127394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61013</xdr:rowOff>
    </xdr:from>
    <xdr:to>
      <xdr:col>5</xdr:col>
      <xdr:colOff>621665</xdr:colOff>
      <xdr:row>95</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176861</xdr:rowOff>
    </xdr:from>
    <xdr:to>
      <xdr:col>6</xdr:col>
      <xdr:colOff>38100</xdr:colOff>
      <xdr:row>191</xdr:row>
      <xdr:rowOff>99853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68861</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104</xdr:row>
      <xdr:rowOff>184749</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620395</xdr:colOff>
      <xdr:row>105</xdr:row>
      <xdr:rowOff>127394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620395</xdr:colOff>
      <xdr:row>95</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176861</xdr:rowOff>
    </xdr:from>
    <xdr:to>
      <xdr:col>6</xdr:col>
      <xdr:colOff>38100</xdr:colOff>
      <xdr:row>191</xdr:row>
      <xdr:rowOff>99853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68861</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104</xdr:row>
      <xdr:rowOff>184749</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620395</xdr:colOff>
      <xdr:row>105</xdr:row>
      <xdr:rowOff>127394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620395</xdr:colOff>
      <xdr:row>95</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176861</xdr:rowOff>
    </xdr:from>
    <xdr:to>
      <xdr:col>6</xdr:col>
      <xdr:colOff>38100</xdr:colOff>
      <xdr:row>191</xdr:row>
      <xdr:rowOff>99853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68861</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104</xdr:row>
      <xdr:rowOff>184749</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620395</xdr:colOff>
      <xdr:row>105</xdr:row>
      <xdr:rowOff>127394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620395</xdr:colOff>
      <xdr:row>95</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159859</xdr:rowOff>
    </xdr:from>
    <xdr:to>
      <xdr:col>6</xdr:col>
      <xdr:colOff>38100</xdr:colOff>
      <xdr:row>191</xdr:row>
      <xdr:rowOff>99853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609600</xdr:colOff>
      <xdr:row>100</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609600</xdr:colOff>
      <xdr:row>102</xdr:row>
      <xdr:rowOff>68861</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609600</xdr:colOff>
      <xdr:row>104</xdr:row>
      <xdr:rowOff>184749</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609600</xdr:colOff>
      <xdr:row>105</xdr:row>
      <xdr:rowOff>127394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609600</xdr:colOff>
      <xdr:row>94</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609600</xdr:colOff>
      <xdr:row>95</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609600</xdr:colOff>
      <xdr:row>96</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609600</xdr:colOff>
      <xdr:row>97</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130363</xdr:rowOff>
    </xdr:from>
    <xdr:to>
      <xdr:col>6</xdr:col>
      <xdr:colOff>38100</xdr:colOff>
      <xdr:row>95</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127833</xdr:rowOff>
    </xdr:from>
    <xdr:to>
      <xdr:col>5</xdr:col>
      <xdr:colOff>609600</xdr:colOff>
      <xdr:row>92</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40694</xdr:rowOff>
    </xdr:from>
    <xdr:to>
      <xdr:col>5</xdr:col>
      <xdr:colOff>609600</xdr:colOff>
      <xdr:row>190</xdr:row>
      <xdr:rowOff>157216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178499</xdr:rowOff>
    </xdr:from>
    <xdr:to>
      <xdr:col>5</xdr:col>
      <xdr:colOff>609600</xdr:colOff>
      <xdr:row>191</xdr:row>
      <xdr:rowOff>44343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157068</xdr:rowOff>
    </xdr:from>
    <xdr:to>
      <xdr:col>5</xdr:col>
      <xdr:colOff>609600</xdr:colOff>
      <xdr:row>194</xdr:row>
      <xdr:rowOff>100037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156581</xdr:rowOff>
    </xdr:from>
    <xdr:to>
      <xdr:col>5</xdr:col>
      <xdr:colOff>609600</xdr:colOff>
      <xdr:row>195</xdr:row>
      <xdr:rowOff>101307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133218</xdr:rowOff>
    </xdr:from>
    <xdr:to>
      <xdr:col>5</xdr:col>
      <xdr:colOff>609600</xdr:colOff>
      <xdr:row>140</xdr:row>
      <xdr:rowOff>91093</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14883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133853</xdr:rowOff>
    </xdr:from>
    <xdr:to>
      <xdr:col>5</xdr:col>
      <xdr:colOff>609600</xdr:colOff>
      <xdr:row>182</xdr:row>
      <xdr:rowOff>92354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133852</xdr:rowOff>
    </xdr:from>
    <xdr:to>
      <xdr:col>5</xdr:col>
      <xdr:colOff>609600</xdr:colOff>
      <xdr:row>183</xdr:row>
      <xdr:rowOff>140689</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72671</xdr:rowOff>
    </xdr:from>
    <xdr:to>
      <xdr:col>6</xdr:col>
      <xdr:colOff>38100</xdr:colOff>
      <xdr:row>95</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129738</xdr:rowOff>
    </xdr:from>
    <xdr:to>
      <xdr:col>5</xdr:col>
      <xdr:colOff>609600</xdr:colOff>
      <xdr:row>92</xdr:row>
      <xdr:rowOff>8294</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20543</xdr:rowOff>
    </xdr:from>
    <xdr:to>
      <xdr:col>5</xdr:col>
      <xdr:colOff>609600</xdr:colOff>
      <xdr:row>190</xdr:row>
      <xdr:rowOff>157216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191</xdr:row>
      <xdr:rowOff>36844</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174678</xdr:rowOff>
    </xdr:from>
    <xdr:to>
      <xdr:col>5</xdr:col>
      <xdr:colOff>609600</xdr:colOff>
      <xdr:row>194</xdr:row>
      <xdr:rowOff>81622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141511</xdr:rowOff>
    </xdr:from>
    <xdr:to>
      <xdr:col>5</xdr:col>
      <xdr:colOff>609600</xdr:colOff>
      <xdr:row>195</xdr:row>
      <xdr:rowOff>100672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132583</xdr:rowOff>
    </xdr:from>
    <xdr:to>
      <xdr:col>5</xdr:col>
      <xdr:colOff>609600</xdr:colOff>
      <xdr:row>140</xdr:row>
      <xdr:rowOff>91093</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15518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182</xdr:row>
      <xdr:rowOff>72668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140689</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137899</xdr:rowOff>
    </xdr:from>
    <xdr:to>
      <xdr:col>5</xdr:col>
      <xdr:colOff>609600</xdr:colOff>
      <xdr:row>55</xdr:row>
      <xdr:rowOff>115286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13555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70</xdr:row>
      <xdr:rowOff>52055</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54937</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63371</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63371</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99852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174678</xdr:rowOff>
    </xdr:from>
    <xdr:to>
      <xdr:col>5</xdr:col>
      <xdr:colOff>609600</xdr:colOff>
      <xdr:row>192</xdr:row>
      <xdr:rowOff>55865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157216</xdr:rowOff>
    </xdr:from>
    <xdr:to>
      <xdr:col>5</xdr:col>
      <xdr:colOff>609600</xdr:colOff>
      <xdr:row>195</xdr:row>
      <xdr:rowOff>81622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81623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136722</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137899</xdr:rowOff>
    </xdr:from>
    <xdr:to>
      <xdr:col>5</xdr:col>
      <xdr:colOff>609600</xdr:colOff>
      <xdr:row>55</xdr:row>
      <xdr:rowOff>115286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13555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70</xdr:row>
      <xdr:rowOff>52055</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54937</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63371</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63371</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99852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174678</xdr:rowOff>
    </xdr:from>
    <xdr:to>
      <xdr:col>5</xdr:col>
      <xdr:colOff>609600</xdr:colOff>
      <xdr:row>192</xdr:row>
      <xdr:rowOff>55865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157216</xdr:rowOff>
    </xdr:from>
    <xdr:to>
      <xdr:col>5</xdr:col>
      <xdr:colOff>609600</xdr:colOff>
      <xdr:row>195</xdr:row>
      <xdr:rowOff>81622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81623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136722</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166428</xdr:rowOff>
    </xdr:from>
    <xdr:to>
      <xdr:col>5</xdr:col>
      <xdr:colOff>628650</xdr:colOff>
      <xdr:row>57</xdr:row>
      <xdr:rowOff>151927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157403</xdr:rowOff>
    </xdr:from>
    <xdr:to>
      <xdr:col>5</xdr:col>
      <xdr:colOff>628650</xdr:colOff>
      <xdr:row>56</xdr:row>
      <xdr:rowOff>12876</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58</xdr:row>
      <xdr:rowOff>175505</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22629</xdr:rowOff>
    </xdr:from>
    <xdr:to>
      <xdr:col>5</xdr:col>
      <xdr:colOff>628650</xdr:colOff>
      <xdr:row>61</xdr:row>
      <xdr:rowOff>377773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61</xdr:row>
      <xdr:rowOff>202567</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62</xdr:row>
      <xdr:rowOff>203275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24444</xdr:rowOff>
    </xdr:from>
    <xdr:to>
      <xdr:col>5</xdr:col>
      <xdr:colOff>628650</xdr:colOff>
      <xdr:row>62</xdr:row>
      <xdr:rowOff>25999</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414830</xdr:rowOff>
    </xdr:from>
    <xdr:to>
      <xdr:col>5</xdr:col>
      <xdr:colOff>628650</xdr:colOff>
      <xdr:row>63</xdr:row>
      <xdr:rowOff>177367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258363</xdr:rowOff>
    </xdr:from>
    <xdr:to>
      <xdr:col>5</xdr:col>
      <xdr:colOff>628650</xdr:colOff>
      <xdr:row>62</xdr:row>
      <xdr:rowOff>389280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140648</xdr:rowOff>
    </xdr:from>
    <xdr:to>
      <xdr:col>5</xdr:col>
      <xdr:colOff>628650</xdr:colOff>
      <xdr:row>80</xdr:row>
      <xdr:rowOff>145409</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182717</xdr:rowOff>
    </xdr:from>
    <xdr:to>
      <xdr:col>5</xdr:col>
      <xdr:colOff>628650</xdr:colOff>
      <xdr:row>79</xdr:row>
      <xdr:rowOff>154934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101754</xdr:rowOff>
    </xdr:from>
    <xdr:to>
      <xdr:col>5</xdr:col>
      <xdr:colOff>628650</xdr:colOff>
      <xdr:row>82</xdr:row>
      <xdr:rowOff>126423</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312098</xdr:rowOff>
    </xdr:from>
    <xdr:to>
      <xdr:col>5</xdr:col>
      <xdr:colOff>628650</xdr:colOff>
      <xdr:row>81</xdr:row>
      <xdr:rowOff>138095</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99326</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80944</xdr:rowOff>
    </xdr:from>
    <xdr:to>
      <xdr:col>5</xdr:col>
      <xdr:colOff>628650</xdr:colOff>
      <xdr:row>85</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135957</xdr:rowOff>
    </xdr:from>
    <xdr:to>
      <xdr:col>5</xdr:col>
      <xdr:colOff>628650</xdr:colOff>
      <xdr:row>108</xdr:row>
      <xdr:rowOff>183454</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174058</xdr:rowOff>
    </xdr:from>
    <xdr:to>
      <xdr:col>5</xdr:col>
      <xdr:colOff>628650</xdr:colOff>
      <xdr:row>107</xdr:row>
      <xdr:rowOff>176871</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72255</xdr:rowOff>
    </xdr:from>
    <xdr:to>
      <xdr:col>5</xdr:col>
      <xdr:colOff>628650</xdr:colOff>
      <xdr:row>109</xdr:row>
      <xdr:rowOff>135362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118967</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128596</xdr:rowOff>
    </xdr:from>
    <xdr:to>
      <xdr:col>5</xdr:col>
      <xdr:colOff>628650</xdr:colOff>
      <xdr:row>111</xdr:row>
      <xdr:rowOff>108649</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109638</xdr:rowOff>
    </xdr:from>
    <xdr:to>
      <xdr:col>5</xdr:col>
      <xdr:colOff>628650</xdr:colOff>
      <xdr:row>114</xdr:row>
      <xdr:rowOff>127234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166428</xdr:rowOff>
    </xdr:from>
    <xdr:to>
      <xdr:col>5</xdr:col>
      <xdr:colOff>628650</xdr:colOff>
      <xdr:row>57</xdr:row>
      <xdr:rowOff>151927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157403</xdr:rowOff>
    </xdr:from>
    <xdr:to>
      <xdr:col>5</xdr:col>
      <xdr:colOff>628650</xdr:colOff>
      <xdr:row>56</xdr:row>
      <xdr:rowOff>12876</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58</xdr:row>
      <xdr:rowOff>175505</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22629</xdr:rowOff>
    </xdr:from>
    <xdr:to>
      <xdr:col>5</xdr:col>
      <xdr:colOff>628650</xdr:colOff>
      <xdr:row>61</xdr:row>
      <xdr:rowOff>377773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61</xdr:row>
      <xdr:rowOff>202567</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62</xdr:row>
      <xdr:rowOff>203275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24444</xdr:rowOff>
    </xdr:from>
    <xdr:to>
      <xdr:col>5</xdr:col>
      <xdr:colOff>628650</xdr:colOff>
      <xdr:row>62</xdr:row>
      <xdr:rowOff>25999</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414830</xdr:rowOff>
    </xdr:from>
    <xdr:to>
      <xdr:col>5</xdr:col>
      <xdr:colOff>628650</xdr:colOff>
      <xdr:row>63</xdr:row>
      <xdr:rowOff>177367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258363</xdr:rowOff>
    </xdr:from>
    <xdr:to>
      <xdr:col>5</xdr:col>
      <xdr:colOff>628650</xdr:colOff>
      <xdr:row>62</xdr:row>
      <xdr:rowOff>389280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140648</xdr:rowOff>
    </xdr:from>
    <xdr:to>
      <xdr:col>5</xdr:col>
      <xdr:colOff>628650</xdr:colOff>
      <xdr:row>80</xdr:row>
      <xdr:rowOff>145409</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182717</xdr:rowOff>
    </xdr:from>
    <xdr:to>
      <xdr:col>5</xdr:col>
      <xdr:colOff>628650</xdr:colOff>
      <xdr:row>79</xdr:row>
      <xdr:rowOff>154934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101754</xdr:rowOff>
    </xdr:from>
    <xdr:to>
      <xdr:col>5</xdr:col>
      <xdr:colOff>628650</xdr:colOff>
      <xdr:row>82</xdr:row>
      <xdr:rowOff>126423</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312098</xdr:rowOff>
    </xdr:from>
    <xdr:to>
      <xdr:col>5</xdr:col>
      <xdr:colOff>628650</xdr:colOff>
      <xdr:row>81</xdr:row>
      <xdr:rowOff>138095</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99326</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80944</xdr:rowOff>
    </xdr:from>
    <xdr:to>
      <xdr:col>5</xdr:col>
      <xdr:colOff>628650</xdr:colOff>
      <xdr:row>85</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135957</xdr:rowOff>
    </xdr:from>
    <xdr:to>
      <xdr:col>5</xdr:col>
      <xdr:colOff>628650</xdr:colOff>
      <xdr:row>108</xdr:row>
      <xdr:rowOff>183454</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174058</xdr:rowOff>
    </xdr:from>
    <xdr:to>
      <xdr:col>5</xdr:col>
      <xdr:colOff>628650</xdr:colOff>
      <xdr:row>107</xdr:row>
      <xdr:rowOff>176871</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72255</xdr:rowOff>
    </xdr:from>
    <xdr:to>
      <xdr:col>5</xdr:col>
      <xdr:colOff>628650</xdr:colOff>
      <xdr:row>109</xdr:row>
      <xdr:rowOff>135362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118967</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128596</xdr:rowOff>
    </xdr:from>
    <xdr:to>
      <xdr:col>5</xdr:col>
      <xdr:colOff>628650</xdr:colOff>
      <xdr:row>111</xdr:row>
      <xdr:rowOff>108649</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109638</xdr:rowOff>
    </xdr:from>
    <xdr:to>
      <xdr:col>5</xdr:col>
      <xdr:colOff>628650</xdr:colOff>
      <xdr:row>114</xdr:row>
      <xdr:rowOff>127234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166428</xdr:rowOff>
    </xdr:from>
    <xdr:to>
      <xdr:col>5</xdr:col>
      <xdr:colOff>628650</xdr:colOff>
      <xdr:row>57</xdr:row>
      <xdr:rowOff>151927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157403</xdr:rowOff>
    </xdr:from>
    <xdr:to>
      <xdr:col>5</xdr:col>
      <xdr:colOff>628650</xdr:colOff>
      <xdr:row>56</xdr:row>
      <xdr:rowOff>12876</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58</xdr:row>
      <xdr:rowOff>175505</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22629</xdr:rowOff>
    </xdr:from>
    <xdr:to>
      <xdr:col>5</xdr:col>
      <xdr:colOff>628650</xdr:colOff>
      <xdr:row>61</xdr:row>
      <xdr:rowOff>377773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61</xdr:row>
      <xdr:rowOff>202567</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62</xdr:row>
      <xdr:rowOff>203275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24444</xdr:rowOff>
    </xdr:from>
    <xdr:to>
      <xdr:col>5</xdr:col>
      <xdr:colOff>628650</xdr:colOff>
      <xdr:row>62</xdr:row>
      <xdr:rowOff>25999</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414830</xdr:rowOff>
    </xdr:from>
    <xdr:to>
      <xdr:col>5</xdr:col>
      <xdr:colOff>628650</xdr:colOff>
      <xdr:row>63</xdr:row>
      <xdr:rowOff>177367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258363</xdr:rowOff>
    </xdr:from>
    <xdr:to>
      <xdr:col>5</xdr:col>
      <xdr:colOff>628650</xdr:colOff>
      <xdr:row>62</xdr:row>
      <xdr:rowOff>389280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140648</xdr:rowOff>
    </xdr:from>
    <xdr:to>
      <xdr:col>5</xdr:col>
      <xdr:colOff>628650</xdr:colOff>
      <xdr:row>80</xdr:row>
      <xdr:rowOff>145409</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182717</xdr:rowOff>
    </xdr:from>
    <xdr:to>
      <xdr:col>5</xdr:col>
      <xdr:colOff>628650</xdr:colOff>
      <xdr:row>79</xdr:row>
      <xdr:rowOff>154934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101754</xdr:rowOff>
    </xdr:from>
    <xdr:to>
      <xdr:col>5</xdr:col>
      <xdr:colOff>628650</xdr:colOff>
      <xdr:row>82</xdr:row>
      <xdr:rowOff>126423</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312098</xdr:rowOff>
    </xdr:from>
    <xdr:to>
      <xdr:col>5</xdr:col>
      <xdr:colOff>628650</xdr:colOff>
      <xdr:row>81</xdr:row>
      <xdr:rowOff>138095</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99326</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80944</xdr:rowOff>
    </xdr:from>
    <xdr:to>
      <xdr:col>5</xdr:col>
      <xdr:colOff>628650</xdr:colOff>
      <xdr:row>85</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135957</xdr:rowOff>
    </xdr:from>
    <xdr:to>
      <xdr:col>5</xdr:col>
      <xdr:colOff>628650</xdr:colOff>
      <xdr:row>108</xdr:row>
      <xdr:rowOff>183454</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174058</xdr:rowOff>
    </xdr:from>
    <xdr:to>
      <xdr:col>5</xdr:col>
      <xdr:colOff>628650</xdr:colOff>
      <xdr:row>107</xdr:row>
      <xdr:rowOff>176871</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72255</xdr:rowOff>
    </xdr:from>
    <xdr:to>
      <xdr:col>5</xdr:col>
      <xdr:colOff>628650</xdr:colOff>
      <xdr:row>109</xdr:row>
      <xdr:rowOff>135362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118967</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128596</xdr:rowOff>
    </xdr:from>
    <xdr:to>
      <xdr:col>5</xdr:col>
      <xdr:colOff>628650</xdr:colOff>
      <xdr:row>111</xdr:row>
      <xdr:rowOff>108649</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109638</xdr:rowOff>
    </xdr:from>
    <xdr:to>
      <xdr:col>5</xdr:col>
      <xdr:colOff>628650</xdr:colOff>
      <xdr:row>114</xdr:row>
      <xdr:rowOff>127234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7144</xdr:rowOff>
    </xdr:from>
    <xdr:to>
      <xdr:col>5</xdr:col>
      <xdr:colOff>609600</xdr:colOff>
      <xdr:row>221</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154781</xdr:rowOff>
    </xdr:from>
    <xdr:to>
      <xdr:col>5</xdr:col>
      <xdr:colOff>609600</xdr:colOff>
      <xdr:row>220</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121034</xdr:rowOff>
    </xdr:from>
    <xdr:to>
      <xdr:col>5</xdr:col>
      <xdr:colOff>609600</xdr:colOff>
      <xdr:row>222</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121033</xdr:rowOff>
    </xdr:from>
    <xdr:to>
      <xdr:col>5</xdr:col>
      <xdr:colOff>609600</xdr:colOff>
      <xdr:row>209</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127793</xdr:rowOff>
    </xdr:from>
    <xdr:to>
      <xdr:col>5</xdr:col>
      <xdr:colOff>609600</xdr:colOff>
      <xdr:row>187</xdr:row>
      <xdr:rowOff>50005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159134</xdr:rowOff>
    </xdr:from>
    <xdr:to>
      <xdr:col>5</xdr:col>
      <xdr:colOff>609600</xdr:colOff>
      <xdr:row>188</xdr:row>
      <xdr:rowOff>39686</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115477</xdr:rowOff>
    </xdr:from>
    <xdr:to>
      <xdr:col>5</xdr:col>
      <xdr:colOff>609600</xdr:colOff>
      <xdr:row>189</xdr:row>
      <xdr:rowOff>61119</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61502</xdr:rowOff>
    </xdr:from>
    <xdr:to>
      <xdr:col>5</xdr:col>
      <xdr:colOff>609600</xdr:colOff>
      <xdr:row>195</xdr:row>
      <xdr:rowOff>180975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138353</xdr:rowOff>
    </xdr:from>
    <xdr:to>
      <xdr:col>5</xdr:col>
      <xdr:colOff>628650</xdr:colOff>
      <xdr:row>56</xdr:row>
      <xdr:rowOff>12876</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175177</xdr:rowOff>
    </xdr:from>
    <xdr:to>
      <xdr:col>5</xdr:col>
      <xdr:colOff>628650</xdr:colOff>
      <xdr:row>57</xdr:row>
      <xdr:rowOff>21804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12876</xdr:rowOff>
    </xdr:from>
    <xdr:to>
      <xdr:col>5</xdr:col>
      <xdr:colOff>628650</xdr:colOff>
      <xdr:row>59</xdr:row>
      <xdr:rowOff>151705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21804</xdr:rowOff>
    </xdr:from>
    <xdr:to>
      <xdr:col>5</xdr:col>
      <xdr:colOff>628650</xdr:colOff>
      <xdr:row>61</xdr:row>
      <xdr:rowOff>20613</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14427</xdr:rowOff>
    </xdr:from>
    <xdr:to>
      <xdr:col>5</xdr:col>
      <xdr:colOff>628650</xdr:colOff>
      <xdr:row>61</xdr:row>
      <xdr:rowOff>173458</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29509</xdr:rowOff>
    </xdr:from>
    <xdr:to>
      <xdr:col>5</xdr:col>
      <xdr:colOff>628650</xdr:colOff>
      <xdr:row>76</xdr:row>
      <xdr:rowOff>65929</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16015</xdr:rowOff>
    </xdr:from>
    <xdr:to>
      <xdr:col>5</xdr:col>
      <xdr:colOff>628650</xdr:colOff>
      <xdr:row>77</xdr:row>
      <xdr:rowOff>20684</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6988</xdr:rowOff>
    </xdr:from>
    <xdr:to>
      <xdr:col>5</xdr:col>
      <xdr:colOff>628650</xdr:colOff>
      <xdr:row>77</xdr:row>
      <xdr:rowOff>207216</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178936</xdr:rowOff>
    </xdr:from>
    <xdr:to>
      <xdr:col>5</xdr:col>
      <xdr:colOff>628650</xdr:colOff>
      <xdr:row>77</xdr:row>
      <xdr:rowOff>365965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44699</xdr:rowOff>
    </xdr:from>
    <xdr:to>
      <xdr:col>5</xdr:col>
      <xdr:colOff>628650</xdr:colOff>
      <xdr:row>99</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50722</xdr:rowOff>
    </xdr:from>
    <xdr:to>
      <xdr:col>5</xdr:col>
      <xdr:colOff>628650</xdr:colOff>
      <xdr:row>100</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47547</xdr:rowOff>
    </xdr:from>
    <xdr:to>
      <xdr:col>5</xdr:col>
      <xdr:colOff>628650</xdr:colOff>
      <xdr:row>101</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45790</xdr:rowOff>
    </xdr:from>
    <xdr:to>
      <xdr:col>5</xdr:col>
      <xdr:colOff>628650</xdr:colOff>
      <xdr:row>101</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188119</xdr:rowOff>
    </xdr:from>
    <xdr:to>
      <xdr:col>5</xdr:col>
      <xdr:colOff>609600</xdr:colOff>
      <xdr:row>220</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126206</xdr:rowOff>
    </xdr:from>
    <xdr:to>
      <xdr:col>5</xdr:col>
      <xdr:colOff>609600</xdr:colOff>
      <xdr:row>220</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126206</xdr:rowOff>
    </xdr:from>
    <xdr:to>
      <xdr:col>5</xdr:col>
      <xdr:colOff>609600</xdr:colOff>
      <xdr:row>221</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209</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78581</xdr:rowOff>
    </xdr:from>
    <xdr:to>
      <xdr:col>5</xdr:col>
      <xdr:colOff>609600</xdr:colOff>
      <xdr:row>187</xdr:row>
      <xdr:rowOff>40481</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177006</xdr:rowOff>
    </xdr:from>
    <xdr:to>
      <xdr:col>5</xdr:col>
      <xdr:colOff>609600</xdr:colOff>
      <xdr:row>188</xdr:row>
      <xdr:rowOff>39686</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45244</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60324</xdr:rowOff>
    </xdr:from>
    <xdr:to>
      <xdr:col>5</xdr:col>
      <xdr:colOff>609600</xdr:colOff>
      <xdr:row>195</xdr:row>
      <xdr:rowOff>161925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175177</xdr:rowOff>
    </xdr:from>
    <xdr:to>
      <xdr:col>5</xdr:col>
      <xdr:colOff>609600</xdr:colOff>
      <xdr:row>54</xdr:row>
      <xdr:rowOff>79461</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12876</xdr:rowOff>
    </xdr:from>
    <xdr:to>
      <xdr:col>5</xdr:col>
      <xdr:colOff>609600</xdr:colOff>
      <xdr:row>60</xdr:row>
      <xdr:rowOff>137713</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511891</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14427</xdr:rowOff>
    </xdr:from>
    <xdr:to>
      <xdr:col>5</xdr:col>
      <xdr:colOff>609600</xdr:colOff>
      <xdr:row>62</xdr:row>
      <xdr:rowOff>352940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39828</xdr:rowOff>
    </xdr:from>
    <xdr:to>
      <xdr:col>5</xdr:col>
      <xdr:colOff>609600</xdr:colOff>
      <xdr:row>76</xdr:row>
      <xdr:rowOff>65929</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179527</xdr:rowOff>
    </xdr:from>
    <xdr:to>
      <xdr:col>5</xdr:col>
      <xdr:colOff>609600</xdr:colOff>
      <xdr:row>77</xdr:row>
      <xdr:rowOff>20684</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176851</xdr:rowOff>
    </xdr:from>
    <xdr:to>
      <xdr:col>5</xdr:col>
      <xdr:colOff>609600</xdr:colOff>
      <xdr:row>77</xdr:row>
      <xdr:rowOff>207216</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77</xdr:row>
      <xdr:rowOff>365965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56606</xdr:rowOff>
    </xdr:from>
    <xdr:to>
      <xdr:col>5</xdr:col>
      <xdr:colOff>609600</xdr:colOff>
      <xdr:row>100</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100</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100</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19532</xdr:rowOff>
    </xdr:from>
    <xdr:to>
      <xdr:col>5</xdr:col>
      <xdr:colOff>609600</xdr:colOff>
      <xdr:row>101</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176212</xdr:rowOff>
    </xdr:from>
    <xdr:to>
      <xdr:col>5</xdr:col>
      <xdr:colOff>609600</xdr:colOff>
      <xdr:row>221</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88900</xdr:rowOff>
    </xdr:from>
    <xdr:to>
      <xdr:col>5</xdr:col>
      <xdr:colOff>609600</xdr:colOff>
      <xdr:row>188</xdr:row>
      <xdr:rowOff>10317</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138112</xdr:rowOff>
    </xdr:from>
    <xdr:to>
      <xdr:col>5</xdr:col>
      <xdr:colOff>609600</xdr:colOff>
      <xdr:row>189</xdr:row>
      <xdr:rowOff>7144</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190</xdr:row>
      <xdr:rowOff>23813</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39686</xdr:rowOff>
    </xdr:from>
    <xdr:to>
      <xdr:col>5</xdr:col>
      <xdr:colOff>609600</xdr:colOff>
      <xdr:row>196</xdr:row>
      <xdr:rowOff>161925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50567</xdr:rowOff>
    </xdr:from>
    <xdr:to>
      <xdr:col>5</xdr:col>
      <xdr:colOff>609600</xdr:colOff>
      <xdr:row>55</xdr:row>
      <xdr:rowOff>12343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12343</xdr:rowOff>
    </xdr:from>
    <xdr:to>
      <xdr:col>5</xdr:col>
      <xdr:colOff>609600</xdr:colOff>
      <xdr:row>55</xdr:row>
      <xdr:rowOff>114130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163933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163093</xdr:rowOff>
    </xdr:from>
    <xdr:to>
      <xdr:col>5</xdr:col>
      <xdr:colOff>609600</xdr:colOff>
      <xdr:row>62</xdr:row>
      <xdr:rowOff>147062</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21370</xdr:rowOff>
    </xdr:from>
    <xdr:to>
      <xdr:col>5</xdr:col>
      <xdr:colOff>609600</xdr:colOff>
      <xdr:row>63</xdr:row>
      <xdr:rowOff>121958</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179527</xdr:rowOff>
    </xdr:from>
    <xdr:to>
      <xdr:col>5</xdr:col>
      <xdr:colOff>609600</xdr:colOff>
      <xdr:row>77</xdr:row>
      <xdr:rowOff>20684</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176851</xdr:rowOff>
    </xdr:from>
    <xdr:to>
      <xdr:col>5</xdr:col>
      <xdr:colOff>609600</xdr:colOff>
      <xdr:row>77</xdr:row>
      <xdr:rowOff>207216</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77</xdr:row>
      <xdr:rowOff>365965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146890</xdr:rowOff>
    </xdr:from>
    <xdr:to>
      <xdr:col>5</xdr:col>
      <xdr:colOff>609600</xdr:colOff>
      <xdr:row>78</xdr:row>
      <xdr:rowOff>161972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101</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101</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46754</xdr:rowOff>
    </xdr:from>
    <xdr:to>
      <xdr:col>5</xdr:col>
      <xdr:colOff>609600</xdr:colOff>
      <xdr:row>101</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19533</xdr:rowOff>
    </xdr:from>
    <xdr:to>
      <xdr:col>5</xdr:col>
      <xdr:colOff>609600</xdr:colOff>
      <xdr:row>101</xdr:row>
      <xdr:rowOff>209239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57649</xdr:rowOff>
    </xdr:from>
    <xdr:to>
      <xdr:col>21</xdr:col>
      <xdr:colOff>445294</xdr:colOff>
      <xdr:row>28</xdr:row>
      <xdr:rowOff>123995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120</xdr:row>
      <xdr:rowOff>103186</xdr:rowOff>
    </xdr:from>
    <xdr:to>
      <xdr:col>21</xdr:col>
      <xdr:colOff>445294</xdr:colOff>
      <xdr:row>124</xdr:row>
      <xdr:rowOff>153193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164306</xdr:rowOff>
    </xdr:from>
    <xdr:to>
      <xdr:col>5</xdr:col>
      <xdr:colOff>609600</xdr:colOff>
      <xdr:row>246</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126206</xdr:rowOff>
    </xdr:from>
    <xdr:to>
      <xdr:col>5</xdr:col>
      <xdr:colOff>609600</xdr:colOff>
      <xdr:row>246</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126206</xdr:rowOff>
    </xdr:from>
    <xdr:to>
      <xdr:col>5</xdr:col>
      <xdr:colOff>609600</xdr:colOff>
      <xdr:row>247</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235</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50006</xdr:rowOff>
    </xdr:from>
    <xdr:to>
      <xdr:col>5</xdr:col>
      <xdr:colOff>609600</xdr:colOff>
      <xdr:row>212</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126206</xdr:rowOff>
    </xdr:from>
    <xdr:to>
      <xdr:col>5</xdr:col>
      <xdr:colOff>609600</xdr:colOff>
      <xdr:row>213</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126206</xdr:rowOff>
    </xdr:from>
    <xdr:to>
      <xdr:col>5</xdr:col>
      <xdr:colOff>609600</xdr:colOff>
      <xdr:row>214</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126206</xdr:rowOff>
    </xdr:from>
    <xdr:to>
      <xdr:col>5</xdr:col>
      <xdr:colOff>609600</xdr:colOff>
      <xdr:row>221</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77</xdr:row>
      <xdr:rowOff>283976</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78</xdr:row>
      <xdr:rowOff>142922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129195</xdr:rowOff>
    </xdr:from>
    <xdr:to>
      <xdr:col>5</xdr:col>
      <xdr:colOff>609600</xdr:colOff>
      <xdr:row>79</xdr:row>
      <xdr:rowOff>77834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126020</xdr:rowOff>
    </xdr:from>
    <xdr:to>
      <xdr:col>5</xdr:col>
      <xdr:colOff>609600</xdr:colOff>
      <xdr:row>82</xdr:row>
      <xdr:rowOff>88216</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20685</xdr:rowOff>
    </xdr:from>
    <xdr:to>
      <xdr:col>5</xdr:col>
      <xdr:colOff>609600</xdr:colOff>
      <xdr:row>88</xdr:row>
      <xdr:rowOff>18257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149474</xdr:rowOff>
    </xdr:from>
    <xdr:to>
      <xdr:col>5</xdr:col>
      <xdr:colOff>609600</xdr:colOff>
      <xdr:row>100</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145972</xdr:rowOff>
    </xdr:from>
    <xdr:to>
      <xdr:col>5</xdr:col>
      <xdr:colOff>609600</xdr:colOff>
      <xdr:row>101</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101</xdr:row>
      <xdr:rowOff>236460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145973</xdr:rowOff>
    </xdr:from>
    <xdr:to>
      <xdr:col>5</xdr:col>
      <xdr:colOff>609600</xdr:colOff>
      <xdr:row>102</xdr:row>
      <xdr:rowOff>165023</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126003</xdr:rowOff>
    </xdr:from>
    <xdr:to>
      <xdr:col>5</xdr:col>
      <xdr:colOff>609600</xdr:colOff>
      <xdr:row>124</xdr:row>
      <xdr:rowOff>146049</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103186</xdr:rowOff>
    </xdr:from>
    <xdr:to>
      <xdr:col>5</xdr:col>
      <xdr:colOff>609600</xdr:colOff>
      <xdr:row>124</xdr:row>
      <xdr:rowOff>146049</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76993</xdr:rowOff>
    </xdr:from>
    <xdr:to>
      <xdr:col>5</xdr:col>
      <xdr:colOff>609600</xdr:colOff>
      <xdr:row>124</xdr:row>
      <xdr:rowOff>146049</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56355</xdr:rowOff>
    </xdr:from>
    <xdr:to>
      <xdr:col>5</xdr:col>
      <xdr:colOff>609600</xdr:colOff>
      <xdr:row>124</xdr:row>
      <xdr:rowOff>146049</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57649</xdr:rowOff>
    </xdr:from>
    <xdr:to>
      <xdr:col>21</xdr:col>
      <xdr:colOff>445294</xdr:colOff>
      <xdr:row>28</xdr:row>
      <xdr:rowOff>123995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145</xdr:row>
      <xdr:rowOff>50006</xdr:rowOff>
    </xdr:from>
    <xdr:to>
      <xdr:col>21</xdr:col>
      <xdr:colOff>445294</xdr:colOff>
      <xdr:row>149</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68263</xdr:rowOff>
    </xdr:from>
    <xdr:to>
      <xdr:col>21</xdr:col>
      <xdr:colOff>407194</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80169</xdr:rowOff>
    </xdr:from>
    <xdr:to>
      <xdr:col>16</xdr:col>
      <xdr:colOff>407194</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142081</xdr:rowOff>
    </xdr:from>
    <xdr:to>
      <xdr:col>5</xdr:col>
      <xdr:colOff>609600</xdr:colOff>
      <xdr:row>242</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103981</xdr:rowOff>
    </xdr:from>
    <xdr:to>
      <xdr:col>5</xdr:col>
      <xdr:colOff>609600</xdr:colOff>
      <xdr:row>242</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103981</xdr:rowOff>
    </xdr:from>
    <xdr:to>
      <xdr:col>5</xdr:col>
      <xdr:colOff>609600</xdr:colOff>
      <xdr:row>243</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231</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27781</xdr:rowOff>
    </xdr:from>
    <xdr:to>
      <xdr:col>5</xdr:col>
      <xdr:colOff>609600</xdr:colOff>
      <xdr:row>208</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103981</xdr:rowOff>
    </xdr:from>
    <xdr:to>
      <xdr:col>5</xdr:col>
      <xdr:colOff>609600</xdr:colOff>
      <xdr:row>209</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103981</xdr:rowOff>
    </xdr:from>
    <xdr:to>
      <xdr:col>5</xdr:col>
      <xdr:colOff>609600</xdr:colOff>
      <xdr:row>210</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103981</xdr:rowOff>
    </xdr:from>
    <xdr:to>
      <xdr:col>5</xdr:col>
      <xdr:colOff>609600</xdr:colOff>
      <xdr:row>217</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74</xdr:row>
      <xdr:rowOff>141396</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76</xdr:row>
      <xdr:rowOff>26241</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113413</xdr:rowOff>
    </xdr:from>
    <xdr:to>
      <xdr:col>5</xdr:col>
      <xdr:colOff>609600</xdr:colOff>
      <xdr:row>76</xdr:row>
      <xdr:rowOff>168322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113414</xdr:rowOff>
    </xdr:from>
    <xdr:to>
      <xdr:col>5</xdr:col>
      <xdr:colOff>609600</xdr:colOff>
      <xdr:row>78</xdr:row>
      <xdr:rowOff>125460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84979</xdr:rowOff>
    </xdr:from>
    <xdr:to>
      <xdr:col>5</xdr:col>
      <xdr:colOff>609600</xdr:colOff>
      <xdr:row>84</xdr:row>
      <xdr:rowOff>15876</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8731</xdr:rowOff>
    </xdr:from>
    <xdr:to>
      <xdr:col>5</xdr:col>
      <xdr:colOff>609600</xdr:colOff>
      <xdr:row>96</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169286</xdr:rowOff>
    </xdr:from>
    <xdr:to>
      <xdr:col>5</xdr:col>
      <xdr:colOff>609600</xdr:colOff>
      <xdr:row>97</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141303</xdr:rowOff>
    </xdr:from>
    <xdr:to>
      <xdr:col>5</xdr:col>
      <xdr:colOff>609600</xdr:colOff>
      <xdr:row>98</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130752</xdr:rowOff>
    </xdr:from>
    <xdr:to>
      <xdr:col>5</xdr:col>
      <xdr:colOff>609600</xdr:colOff>
      <xdr:row>99</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138704</xdr:rowOff>
    </xdr:from>
    <xdr:to>
      <xdr:col>5</xdr:col>
      <xdr:colOff>609600</xdr:colOff>
      <xdr:row>120</xdr:row>
      <xdr:rowOff>146049</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136323</xdr:rowOff>
    </xdr:from>
    <xdr:to>
      <xdr:col>5</xdr:col>
      <xdr:colOff>609600</xdr:colOff>
      <xdr:row>120</xdr:row>
      <xdr:rowOff>146049</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114891</xdr:rowOff>
    </xdr:from>
    <xdr:to>
      <xdr:col>5</xdr:col>
      <xdr:colOff>609600</xdr:colOff>
      <xdr:row>120</xdr:row>
      <xdr:rowOff>146049</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76791</xdr:rowOff>
    </xdr:from>
    <xdr:to>
      <xdr:col>5</xdr:col>
      <xdr:colOff>609600</xdr:colOff>
      <xdr:row>120</xdr:row>
      <xdr:rowOff>146049</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81288</xdr:rowOff>
    </xdr:from>
    <xdr:to>
      <xdr:col>21</xdr:col>
      <xdr:colOff>445294</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141</xdr:row>
      <xdr:rowOff>39687</xdr:rowOff>
    </xdr:from>
    <xdr:to>
      <xdr:col>21</xdr:col>
      <xdr:colOff>445294</xdr:colOff>
      <xdr:row>145</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28279</xdr:rowOff>
    </xdr:from>
    <xdr:to>
      <xdr:col>21</xdr:col>
      <xdr:colOff>407194</xdr:colOff>
      <xdr:row>30</xdr:row>
      <xdr:rowOff>128588</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42800</xdr:rowOff>
    </xdr:from>
    <xdr:to>
      <xdr:col>16</xdr:col>
      <xdr:colOff>407194</xdr:colOff>
      <xdr:row>31</xdr:row>
      <xdr:rowOff>140494</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23813</xdr:rowOff>
    </xdr:from>
    <xdr:to>
      <xdr:col>5</xdr:col>
      <xdr:colOff>609600</xdr:colOff>
      <xdr:row>220</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219</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152400</xdr:rowOff>
    </xdr:from>
    <xdr:to>
      <xdr:col>5</xdr:col>
      <xdr:colOff>609600</xdr:colOff>
      <xdr:row>221</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208</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40481</xdr:rowOff>
    </xdr:from>
    <xdr:to>
      <xdr:col>5</xdr:col>
      <xdr:colOff>609600</xdr:colOff>
      <xdr:row>186</xdr:row>
      <xdr:rowOff>64294</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128588</xdr:rowOff>
    </xdr:from>
    <xdr:to>
      <xdr:col>5</xdr:col>
      <xdr:colOff>609600</xdr:colOff>
      <xdr:row>187</xdr:row>
      <xdr:rowOff>88106</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138112</xdr:rowOff>
    </xdr:from>
    <xdr:to>
      <xdr:col>5</xdr:col>
      <xdr:colOff>609600</xdr:colOff>
      <xdr:row>188</xdr:row>
      <xdr:rowOff>71438</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195</xdr:row>
      <xdr:rowOff>16669</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53</xdr:row>
      <xdr:rowOff>39455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54</xdr:row>
      <xdr:rowOff>117008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46831</xdr:rowOff>
    </xdr:from>
    <xdr:to>
      <xdr:col>5</xdr:col>
      <xdr:colOff>609600</xdr:colOff>
      <xdr:row>56</xdr:row>
      <xdr:rowOff>105164</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58505</xdr:rowOff>
    </xdr:from>
    <xdr:to>
      <xdr:col>5</xdr:col>
      <xdr:colOff>609600</xdr:colOff>
      <xdr:row>60</xdr:row>
      <xdr:rowOff>115514</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41648</xdr:rowOff>
    </xdr:from>
    <xdr:to>
      <xdr:col>5</xdr:col>
      <xdr:colOff>609600</xdr:colOff>
      <xdr:row>63</xdr:row>
      <xdr:rowOff>47111</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158844</xdr:rowOff>
    </xdr:from>
    <xdr:to>
      <xdr:col>5</xdr:col>
      <xdr:colOff>609600</xdr:colOff>
      <xdr:row>74</xdr:row>
      <xdr:rowOff>9369</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181784</xdr:rowOff>
    </xdr:from>
    <xdr:to>
      <xdr:col>5</xdr:col>
      <xdr:colOff>609600</xdr:colOff>
      <xdr:row>99</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99</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99</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132805</xdr:rowOff>
    </xdr:from>
    <xdr:to>
      <xdr:col>5</xdr:col>
      <xdr:colOff>609600</xdr:colOff>
      <xdr:row>99</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114096</xdr:rowOff>
    </xdr:from>
    <xdr:to>
      <xdr:col>21</xdr:col>
      <xdr:colOff>445294</xdr:colOff>
      <xdr:row>122</xdr:row>
      <xdr:rowOff>153988</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28279</xdr:rowOff>
    </xdr:from>
    <xdr:to>
      <xdr:col>22</xdr:col>
      <xdr:colOff>616744</xdr:colOff>
      <xdr:row>26</xdr:row>
      <xdr:rowOff>69554</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122</xdr:row>
      <xdr:rowOff>107157</xdr:rowOff>
    </xdr:from>
    <xdr:to>
      <xdr:col>22</xdr:col>
      <xdr:colOff>616744</xdr:colOff>
      <xdr:row>126</xdr:row>
      <xdr:rowOff>97632</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72345</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137645</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23951</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61445</xdr:rowOff>
    </xdr:from>
    <xdr:to>
      <xdr:col>5</xdr:col>
      <xdr:colOff>609600</xdr:colOff>
      <xdr:row>59</xdr:row>
      <xdr:rowOff>138237</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99545</xdr:rowOff>
    </xdr:from>
    <xdr:to>
      <xdr:col>5</xdr:col>
      <xdr:colOff>609600</xdr:colOff>
      <xdr:row>61</xdr:row>
      <xdr:rowOff>473791</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43001</xdr:rowOff>
    </xdr:from>
    <xdr:to>
      <xdr:col>5</xdr:col>
      <xdr:colOff>609600</xdr:colOff>
      <xdr:row>63</xdr:row>
      <xdr:rowOff>262450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77</xdr:row>
      <xdr:rowOff>177847</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61850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72345</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137645</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23951</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61445</xdr:rowOff>
    </xdr:from>
    <xdr:to>
      <xdr:col>5</xdr:col>
      <xdr:colOff>609600</xdr:colOff>
      <xdr:row>59</xdr:row>
      <xdr:rowOff>138237</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99545</xdr:rowOff>
    </xdr:from>
    <xdr:to>
      <xdr:col>5</xdr:col>
      <xdr:colOff>609600</xdr:colOff>
      <xdr:row>61</xdr:row>
      <xdr:rowOff>473791</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43001</xdr:rowOff>
    </xdr:from>
    <xdr:to>
      <xdr:col>5</xdr:col>
      <xdr:colOff>609600</xdr:colOff>
      <xdr:row>63</xdr:row>
      <xdr:rowOff>262450</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77</xdr:row>
      <xdr:rowOff>177847</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61850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72345</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137645</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23951</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61445</xdr:rowOff>
    </xdr:from>
    <xdr:to>
      <xdr:col>5</xdr:col>
      <xdr:colOff>609600</xdr:colOff>
      <xdr:row>59</xdr:row>
      <xdr:rowOff>138237</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99545</xdr:rowOff>
    </xdr:from>
    <xdr:to>
      <xdr:col>5</xdr:col>
      <xdr:colOff>609600</xdr:colOff>
      <xdr:row>61</xdr:row>
      <xdr:rowOff>473791</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43001</xdr:rowOff>
    </xdr:from>
    <xdr:to>
      <xdr:col>5</xdr:col>
      <xdr:colOff>609600</xdr:colOff>
      <xdr:row>63</xdr:row>
      <xdr:rowOff>262450</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77</xdr:row>
      <xdr:rowOff>177847</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61850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156369</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142829</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141599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160649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116728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169115</xdr:rowOff>
    </xdr:from>
    <xdr:to>
      <xdr:col>5</xdr:col>
      <xdr:colOff>609600</xdr:colOff>
      <xdr:row>81</xdr:row>
      <xdr:rowOff>184819</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15984</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156368</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18</xdr:row>
      <xdr:rowOff>166687</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29074</xdr:rowOff>
    </xdr:from>
    <xdr:to>
      <xdr:col>24</xdr:col>
      <xdr:colOff>654050</xdr:colOff>
      <xdr:row>28</xdr:row>
      <xdr:rowOff>142875</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654050</xdr:colOff>
      <xdr:row>133</xdr:row>
      <xdr:rowOff>11906</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126954</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138424</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157474</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81</xdr:row>
      <xdr:rowOff>184819</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9634</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165893</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119062</xdr:rowOff>
    </xdr:from>
    <xdr:to>
      <xdr:col>24</xdr:col>
      <xdr:colOff>647700</xdr:colOff>
      <xdr:row>133</xdr:row>
      <xdr:rowOff>11906</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126954</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138424</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157474</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81</xdr:row>
      <xdr:rowOff>184819</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9634</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165893</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119062</xdr:rowOff>
    </xdr:from>
    <xdr:to>
      <xdr:col>24</xdr:col>
      <xdr:colOff>647700</xdr:colOff>
      <xdr:row>133</xdr:row>
      <xdr:rowOff>11906</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126954</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138424</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157474</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81</xdr:row>
      <xdr:rowOff>184819</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9634</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165893</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119062</xdr:rowOff>
    </xdr:from>
    <xdr:to>
      <xdr:col>24</xdr:col>
      <xdr:colOff>647700</xdr:colOff>
      <xdr:row>133</xdr:row>
      <xdr:rowOff>11906</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140493</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654050</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128</xdr:row>
      <xdr:rowOff>165893</xdr:rowOff>
    </xdr:from>
    <xdr:to>
      <xdr:col>25</xdr:col>
      <xdr:colOff>654050</xdr:colOff>
      <xdr:row>132</xdr:row>
      <xdr:rowOff>164306</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69</xdr:row>
      <xdr:rowOff>154781</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69056</xdr:rowOff>
    </xdr:from>
    <xdr:to>
      <xdr:col>5</xdr:col>
      <xdr:colOff>628650</xdr:colOff>
      <xdr:row>86</xdr:row>
      <xdr:rowOff>49212</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86</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173831</xdr:rowOff>
    </xdr:from>
    <xdr:to>
      <xdr:col>5</xdr:col>
      <xdr:colOff>609600</xdr:colOff>
      <xdr:row>86</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52387</xdr:rowOff>
    </xdr:from>
    <xdr:to>
      <xdr:col>5</xdr:col>
      <xdr:colOff>609600</xdr:colOff>
      <xdr:row>89</xdr:row>
      <xdr:rowOff>18256</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51481</xdr:rowOff>
    </xdr:from>
    <xdr:to>
      <xdr:col>5</xdr:col>
      <xdr:colOff>609600</xdr:colOff>
      <xdr:row>122</xdr:row>
      <xdr:rowOff>50007</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59532</xdr:rowOff>
    </xdr:from>
    <xdr:to>
      <xdr:col>5</xdr:col>
      <xdr:colOff>609600</xdr:colOff>
      <xdr:row>120</xdr:row>
      <xdr:rowOff>153987</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69</xdr:row>
      <xdr:rowOff>154781</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69056</xdr:rowOff>
    </xdr:from>
    <xdr:to>
      <xdr:col>5</xdr:col>
      <xdr:colOff>628650</xdr:colOff>
      <xdr:row>86</xdr:row>
      <xdr:rowOff>49212</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86</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173831</xdr:rowOff>
    </xdr:from>
    <xdr:to>
      <xdr:col>5</xdr:col>
      <xdr:colOff>609600</xdr:colOff>
      <xdr:row>86</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52387</xdr:rowOff>
    </xdr:from>
    <xdr:to>
      <xdr:col>5</xdr:col>
      <xdr:colOff>609600</xdr:colOff>
      <xdr:row>89</xdr:row>
      <xdr:rowOff>18256</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51481</xdr:rowOff>
    </xdr:from>
    <xdr:to>
      <xdr:col>5</xdr:col>
      <xdr:colOff>609600</xdr:colOff>
      <xdr:row>122</xdr:row>
      <xdr:rowOff>50007</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59532</xdr:rowOff>
    </xdr:from>
    <xdr:to>
      <xdr:col>5</xdr:col>
      <xdr:colOff>609600</xdr:colOff>
      <xdr:row>120</xdr:row>
      <xdr:rowOff>153987</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69</xdr:row>
      <xdr:rowOff>154781</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69056</xdr:rowOff>
    </xdr:from>
    <xdr:to>
      <xdr:col>5</xdr:col>
      <xdr:colOff>628650</xdr:colOff>
      <xdr:row>86</xdr:row>
      <xdr:rowOff>49212</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86</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173831</xdr:rowOff>
    </xdr:from>
    <xdr:to>
      <xdr:col>5</xdr:col>
      <xdr:colOff>609600</xdr:colOff>
      <xdr:row>86</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52387</xdr:rowOff>
    </xdr:from>
    <xdr:to>
      <xdr:col>5</xdr:col>
      <xdr:colOff>609600</xdr:colOff>
      <xdr:row>89</xdr:row>
      <xdr:rowOff>18256</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51481</xdr:rowOff>
    </xdr:from>
    <xdr:to>
      <xdr:col>5</xdr:col>
      <xdr:colOff>609600</xdr:colOff>
      <xdr:row>122</xdr:row>
      <xdr:rowOff>50007</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59532</xdr:rowOff>
    </xdr:from>
    <xdr:to>
      <xdr:col>5</xdr:col>
      <xdr:colOff>609600</xdr:colOff>
      <xdr:row>120</xdr:row>
      <xdr:rowOff>153987</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118" name="Text Box 310" hidden="1">
          <a:extLst>
            <a:ext uri="{FF2B5EF4-FFF2-40B4-BE49-F238E27FC236}">
              <a16:creationId xmlns:a16="http://schemas.microsoft.com/office/drawing/2014/main" id="{4A315ED2-6DDE-80CD-4759-F53FDBCE1946}"/>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38100</xdr:rowOff>
    </xdr:from>
    <xdr:to>
      <xdr:col>5</xdr:col>
      <xdr:colOff>609600</xdr:colOff>
      <xdr:row>235</xdr:row>
      <xdr:rowOff>38100</xdr:rowOff>
    </xdr:to>
    <xdr:sp macro="" textlink="">
      <xdr:nvSpPr>
        <xdr:cNvPr id="376117" name="Text Box 309" hidden="1">
          <a:extLst>
            <a:ext uri="{FF2B5EF4-FFF2-40B4-BE49-F238E27FC236}">
              <a16:creationId xmlns:a16="http://schemas.microsoft.com/office/drawing/2014/main" id="{F61F4CAC-0293-51F5-F1A7-6D33231D149D}"/>
            </a:ext>
          </a:extLst>
        </xdr:cNvPr>
        <xdr:cNvSpPr txBox="1">
          <a:spLocks noChangeArrowheads="1"/>
        </xdr:cNvSpPr>
      </xdr:nvSpPr>
      <xdr:spPr bwMode="auto">
        <a:xfrm>
          <a:off x="3994150" y="423354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214</xdr:row>
      <xdr:rowOff>0</xdr:rowOff>
    </xdr:from>
    <xdr:to>
      <xdr:col>5</xdr:col>
      <xdr:colOff>609600</xdr:colOff>
      <xdr:row>234</xdr:row>
      <xdr:rowOff>133350</xdr:rowOff>
    </xdr:to>
    <xdr:sp macro="" textlink="">
      <xdr:nvSpPr>
        <xdr:cNvPr id="376116" name="Text Box 308" hidden="1">
          <a:extLst>
            <a:ext uri="{FF2B5EF4-FFF2-40B4-BE49-F238E27FC236}">
              <a16:creationId xmlns:a16="http://schemas.microsoft.com/office/drawing/2014/main" id="{4F913E32-E65E-68E2-FD19-E65C4FEBFF9D}"/>
            </a:ext>
          </a:extLst>
        </xdr:cNvPr>
        <xdr:cNvSpPr txBox="1">
          <a:spLocks noChangeArrowheads="1"/>
        </xdr:cNvSpPr>
      </xdr:nvSpPr>
      <xdr:spPr bwMode="auto">
        <a:xfrm>
          <a:off x="3994150" y="42665650"/>
          <a:ext cx="1314450" cy="3816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0</xdr:rowOff>
    </xdr:from>
    <xdr:to>
      <xdr:col>5</xdr:col>
      <xdr:colOff>609600</xdr:colOff>
      <xdr:row>236</xdr:row>
      <xdr:rowOff>38100</xdr:rowOff>
    </xdr:to>
    <xdr:sp macro="" textlink="">
      <xdr:nvSpPr>
        <xdr:cNvPr id="376115" name="Text Box 307" hidden="1">
          <a:extLst>
            <a:ext uri="{FF2B5EF4-FFF2-40B4-BE49-F238E27FC236}">
              <a16:creationId xmlns:a16="http://schemas.microsoft.com/office/drawing/2014/main" id="{3C608763-7A3C-DAF6-5C1E-353F262A5366}"/>
            </a:ext>
          </a:extLst>
        </xdr:cNvPr>
        <xdr:cNvSpPr txBox="1">
          <a:spLocks noChangeArrowheads="1"/>
        </xdr:cNvSpPr>
      </xdr:nvSpPr>
      <xdr:spPr bwMode="auto">
        <a:xfrm>
          <a:off x="3994150" y="43218100"/>
          <a:ext cx="1314450" cy="353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223</xdr:row>
      <xdr:rowOff>133350</xdr:rowOff>
    </xdr:to>
    <xdr:sp macro="" textlink="">
      <xdr:nvSpPr>
        <xdr:cNvPr id="376114" name="Text Box 306" hidden="1">
          <a:extLst>
            <a:ext uri="{FF2B5EF4-FFF2-40B4-BE49-F238E27FC236}">
              <a16:creationId xmlns:a16="http://schemas.microsoft.com/office/drawing/2014/main" id="{D23B754A-0199-CF16-12E6-672713B820FE}"/>
            </a:ext>
          </a:extLst>
        </xdr:cNvPr>
        <xdr:cNvSpPr txBox="1">
          <a:spLocks noChangeArrowheads="1"/>
        </xdr:cNvSpPr>
      </xdr:nvSpPr>
      <xdr:spPr bwMode="auto">
        <a:xfrm>
          <a:off x="3994150" y="43402250"/>
          <a:ext cx="131445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114300</xdr:rowOff>
    </xdr:from>
    <xdr:to>
      <xdr:col>5</xdr:col>
      <xdr:colOff>609600</xdr:colOff>
      <xdr:row>200</xdr:row>
      <xdr:rowOff>133350</xdr:rowOff>
    </xdr:to>
    <xdr:sp macro="" textlink="">
      <xdr:nvSpPr>
        <xdr:cNvPr id="376113" name="Text Box 305" hidden="1">
          <a:extLst>
            <a:ext uri="{FF2B5EF4-FFF2-40B4-BE49-F238E27FC236}">
              <a16:creationId xmlns:a16="http://schemas.microsoft.com/office/drawing/2014/main" id="{41FE51B2-C653-B57B-75A4-36ACE63E3B6B}"/>
            </a:ext>
          </a:extLst>
        </xdr:cNvPr>
        <xdr:cNvSpPr txBox="1">
          <a:spLocks noChangeArrowheads="1"/>
        </xdr:cNvSpPr>
      </xdr:nvSpPr>
      <xdr:spPr bwMode="auto">
        <a:xfrm>
          <a:off x="3994150" y="39096950"/>
          <a:ext cx="1314450" cy="1123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0</xdr:rowOff>
    </xdr:from>
    <xdr:to>
      <xdr:col>5</xdr:col>
      <xdr:colOff>609600</xdr:colOff>
      <xdr:row>202</xdr:row>
      <xdr:rowOff>38100</xdr:rowOff>
    </xdr:to>
    <xdr:sp macro="" textlink="">
      <xdr:nvSpPr>
        <xdr:cNvPr id="376112" name="Text Box 304" hidden="1">
          <a:extLst>
            <a:ext uri="{FF2B5EF4-FFF2-40B4-BE49-F238E27FC236}">
              <a16:creationId xmlns:a16="http://schemas.microsoft.com/office/drawing/2014/main" id="{5597B5B0-AA75-DD0D-A27A-2B76FE09433E}"/>
            </a:ext>
          </a:extLst>
        </xdr:cNvPr>
        <xdr:cNvSpPr txBox="1">
          <a:spLocks noChangeArrowheads="1"/>
        </xdr:cNvSpPr>
      </xdr:nvSpPr>
      <xdr:spPr bwMode="auto">
        <a:xfrm>
          <a:off x="3994150" y="39535100"/>
          <a:ext cx="1314450" cy="95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203</xdr:row>
      <xdr:rowOff>38100</xdr:rowOff>
    </xdr:to>
    <xdr:sp macro="" textlink="">
      <xdr:nvSpPr>
        <xdr:cNvPr id="376111" name="Text Box 303" hidden="1">
          <a:extLst>
            <a:ext uri="{FF2B5EF4-FFF2-40B4-BE49-F238E27FC236}">
              <a16:creationId xmlns:a16="http://schemas.microsoft.com/office/drawing/2014/main" id="{122C112D-6EC0-1BB3-B647-8D4C1D71DC02}"/>
            </a:ext>
          </a:extLst>
        </xdr:cNvPr>
        <xdr:cNvSpPr txBox="1">
          <a:spLocks noChangeArrowheads="1"/>
        </xdr:cNvSpPr>
      </xdr:nvSpPr>
      <xdr:spPr bwMode="auto">
        <a:xfrm>
          <a:off x="3994150" y="399034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0</xdr:rowOff>
    </xdr:from>
    <xdr:to>
      <xdr:col>5</xdr:col>
      <xdr:colOff>609600</xdr:colOff>
      <xdr:row>210</xdr:row>
      <xdr:rowOff>38100</xdr:rowOff>
    </xdr:to>
    <xdr:sp macro="" textlink="">
      <xdr:nvSpPr>
        <xdr:cNvPr id="376110" name="Text Box 302" hidden="1">
          <a:extLst>
            <a:ext uri="{FF2B5EF4-FFF2-40B4-BE49-F238E27FC236}">
              <a16:creationId xmlns:a16="http://schemas.microsoft.com/office/drawing/2014/main" id="{4D654AAB-E7AB-A77B-6E4D-849F9E9716A5}"/>
            </a:ext>
          </a:extLst>
        </xdr:cNvPr>
        <xdr:cNvSpPr txBox="1">
          <a:spLocks noChangeArrowheads="1"/>
        </xdr:cNvSpPr>
      </xdr:nvSpPr>
      <xdr:spPr bwMode="auto">
        <a:xfrm>
          <a:off x="3994150" y="40271700"/>
          <a:ext cx="1314450" cy="169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76200</xdr:rowOff>
    </xdr:from>
    <xdr:to>
      <xdr:col>5</xdr:col>
      <xdr:colOff>609600</xdr:colOff>
      <xdr:row>63</xdr:row>
      <xdr:rowOff>76200</xdr:rowOff>
    </xdr:to>
    <xdr:sp macro="" textlink="">
      <xdr:nvSpPr>
        <xdr:cNvPr id="376109" name="Text Box 301" hidden="1">
          <a:extLst>
            <a:ext uri="{FF2B5EF4-FFF2-40B4-BE49-F238E27FC236}">
              <a16:creationId xmlns:a16="http://schemas.microsoft.com/office/drawing/2014/main" id="{F2FD763D-1C48-59CE-D19A-BA058080BC9B}"/>
            </a:ext>
          </a:extLst>
        </xdr:cNvPr>
        <xdr:cNvSpPr txBox="1">
          <a:spLocks noChangeArrowheads="1"/>
        </xdr:cNvSpPr>
      </xdr:nvSpPr>
      <xdr:spPr bwMode="auto">
        <a:xfrm>
          <a:off x="3994150" y="134556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64</xdr:row>
      <xdr:rowOff>19050</xdr:rowOff>
    </xdr:from>
    <xdr:to>
      <xdr:col>5</xdr:col>
      <xdr:colOff>628650</xdr:colOff>
      <xdr:row>84</xdr:row>
      <xdr:rowOff>171450</xdr:rowOff>
    </xdr:to>
    <xdr:sp macro="" textlink="">
      <xdr:nvSpPr>
        <xdr:cNvPr id="376108" name="Text Box 300" hidden="1">
          <a:extLst>
            <a:ext uri="{FF2B5EF4-FFF2-40B4-BE49-F238E27FC236}">
              <a16:creationId xmlns:a16="http://schemas.microsoft.com/office/drawing/2014/main" id="{B5D67607-B05C-C5A7-7841-031CFBB1A7C9}"/>
            </a:ext>
          </a:extLst>
        </xdr:cNvPr>
        <xdr:cNvSpPr txBox="1">
          <a:spLocks noChangeArrowheads="1"/>
        </xdr:cNvSpPr>
      </xdr:nvSpPr>
      <xdr:spPr bwMode="auto">
        <a:xfrm>
          <a:off x="4013200" y="13785850"/>
          <a:ext cx="1314450" cy="4165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76200</xdr:rowOff>
    </xdr:from>
    <xdr:to>
      <xdr:col>5</xdr:col>
      <xdr:colOff>609600</xdr:colOff>
      <xdr:row>83</xdr:row>
      <xdr:rowOff>95250</xdr:rowOff>
    </xdr:to>
    <xdr:sp macro="" textlink="">
      <xdr:nvSpPr>
        <xdr:cNvPr id="376107" name="Text Box 299" hidden="1">
          <a:extLst>
            <a:ext uri="{FF2B5EF4-FFF2-40B4-BE49-F238E27FC236}">
              <a16:creationId xmlns:a16="http://schemas.microsoft.com/office/drawing/2014/main" id="{95D4EF4C-DF6B-B622-957D-40EB0C5FDDC0}"/>
            </a:ext>
          </a:extLst>
        </xdr:cNvPr>
        <xdr:cNvSpPr txBox="1">
          <a:spLocks noChangeArrowheads="1"/>
        </xdr:cNvSpPr>
      </xdr:nvSpPr>
      <xdr:spPr bwMode="auto">
        <a:xfrm>
          <a:off x="3994150" y="134556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63</xdr:row>
      <xdr:rowOff>95250</xdr:rowOff>
    </xdr:from>
    <xdr:to>
      <xdr:col>5</xdr:col>
      <xdr:colOff>609600</xdr:colOff>
      <xdr:row>83</xdr:row>
      <xdr:rowOff>133350</xdr:rowOff>
    </xdr:to>
    <xdr:sp macro="" textlink="">
      <xdr:nvSpPr>
        <xdr:cNvPr id="376106" name="Text Box 298" hidden="1">
          <a:extLst>
            <a:ext uri="{FF2B5EF4-FFF2-40B4-BE49-F238E27FC236}">
              <a16:creationId xmlns:a16="http://schemas.microsoft.com/office/drawing/2014/main" id="{73E02B12-F1DD-786E-5CDB-1D7DB730D4AB}"/>
            </a:ext>
          </a:extLst>
        </xdr:cNvPr>
        <xdr:cNvSpPr txBox="1">
          <a:spLocks noChangeArrowheads="1"/>
        </xdr:cNvSpPr>
      </xdr:nvSpPr>
      <xdr:spPr bwMode="auto">
        <a:xfrm>
          <a:off x="3994150" y="13474700"/>
          <a:ext cx="1314450" cy="4254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114300</xdr:rowOff>
    </xdr:from>
    <xdr:to>
      <xdr:col>5</xdr:col>
      <xdr:colOff>609600</xdr:colOff>
      <xdr:row>87</xdr:row>
      <xdr:rowOff>19050</xdr:rowOff>
    </xdr:to>
    <xdr:sp macro="" textlink="">
      <xdr:nvSpPr>
        <xdr:cNvPr id="376105" name="Text Box 297" hidden="1">
          <a:extLst>
            <a:ext uri="{FF2B5EF4-FFF2-40B4-BE49-F238E27FC236}">
              <a16:creationId xmlns:a16="http://schemas.microsoft.com/office/drawing/2014/main" id="{0FB22011-CF15-04D8-6D46-45DA7500B0D1}"/>
            </a:ext>
          </a:extLst>
        </xdr:cNvPr>
        <xdr:cNvSpPr txBox="1">
          <a:spLocks noChangeArrowheads="1"/>
        </xdr:cNvSpPr>
      </xdr:nvSpPr>
      <xdr:spPr bwMode="auto">
        <a:xfrm>
          <a:off x="3994150" y="14668500"/>
          <a:ext cx="1314450" cy="368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82</xdr:row>
      <xdr:rowOff>171450</xdr:rowOff>
    </xdr:from>
    <xdr:to>
      <xdr:col>5</xdr:col>
      <xdr:colOff>609600</xdr:colOff>
      <xdr:row>96</xdr:row>
      <xdr:rowOff>38100</xdr:rowOff>
    </xdr:to>
    <xdr:sp macro="" textlink="">
      <xdr:nvSpPr>
        <xdr:cNvPr id="376104" name="Text Box 296" hidden="1">
          <a:extLst>
            <a:ext uri="{FF2B5EF4-FFF2-40B4-BE49-F238E27FC236}">
              <a16:creationId xmlns:a16="http://schemas.microsoft.com/office/drawing/2014/main" id="{D3BC4A83-A454-1BBE-B930-B40D95A47748}"/>
            </a:ext>
          </a:extLst>
        </xdr:cNvPr>
        <xdr:cNvSpPr txBox="1">
          <a:spLocks noChangeArrowheads="1"/>
        </xdr:cNvSpPr>
      </xdr:nvSpPr>
      <xdr:spPr bwMode="auto">
        <a:xfrm>
          <a:off x="3994150" y="17583150"/>
          <a:ext cx="1314450" cy="2444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83</xdr:row>
      <xdr:rowOff>95250</xdr:rowOff>
    </xdr:from>
    <xdr:to>
      <xdr:col>5</xdr:col>
      <xdr:colOff>609600</xdr:colOff>
      <xdr:row>95</xdr:row>
      <xdr:rowOff>19050</xdr:rowOff>
    </xdr:to>
    <xdr:sp macro="" textlink="">
      <xdr:nvSpPr>
        <xdr:cNvPr id="376103" name="Text Box 295" hidden="1">
          <a:extLst>
            <a:ext uri="{FF2B5EF4-FFF2-40B4-BE49-F238E27FC236}">
              <a16:creationId xmlns:a16="http://schemas.microsoft.com/office/drawing/2014/main" id="{8F3307AF-6495-8CDF-BA2B-26C6ABD37AE1}"/>
            </a:ext>
          </a:extLst>
        </xdr:cNvPr>
        <xdr:cNvSpPr txBox="1">
          <a:spLocks noChangeArrowheads="1"/>
        </xdr:cNvSpPr>
      </xdr:nvSpPr>
      <xdr:spPr bwMode="auto">
        <a:xfrm>
          <a:off x="3994150" y="17691100"/>
          <a:ext cx="1314450" cy="213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84</xdr:row>
      <xdr:rowOff>38100</xdr:rowOff>
    </xdr:from>
    <xdr:to>
      <xdr:col>5</xdr:col>
      <xdr:colOff>609600</xdr:colOff>
      <xdr:row>95</xdr:row>
      <xdr:rowOff>95250</xdr:rowOff>
    </xdr:to>
    <xdr:sp macro="" textlink="">
      <xdr:nvSpPr>
        <xdr:cNvPr id="376102" name="Text Box 294" hidden="1">
          <a:extLst>
            <a:ext uri="{FF2B5EF4-FFF2-40B4-BE49-F238E27FC236}">
              <a16:creationId xmlns:a16="http://schemas.microsoft.com/office/drawing/2014/main" id="{82C0AF72-694B-57A7-6DF1-DC934D0FCFBD}"/>
            </a:ext>
          </a:extLst>
        </xdr:cNvPr>
        <xdr:cNvSpPr txBox="1">
          <a:spLocks noChangeArrowheads="1"/>
        </xdr:cNvSpPr>
      </xdr:nvSpPr>
      <xdr:spPr bwMode="auto">
        <a:xfrm>
          <a:off x="3994150" y="17818100"/>
          <a:ext cx="1314450" cy="208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85</xdr:row>
      <xdr:rowOff>38100</xdr:rowOff>
    </xdr:from>
    <xdr:to>
      <xdr:col>5</xdr:col>
      <xdr:colOff>609600</xdr:colOff>
      <xdr:row>97</xdr:row>
      <xdr:rowOff>76200</xdr:rowOff>
    </xdr:to>
    <xdr:sp macro="" textlink="">
      <xdr:nvSpPr>
        <xdr:cNvPr id="376101" name="Text Box 293" hidden="1">
          <a:extLst>
            <a:ext uri="{FF2B5EF4-FFF2-40B4-BE49-F238E27FC236}">
              <a16:creationId xmlns:a16="http://schemas.microsoft.com/office/drawing/2014/main" id="{6B61E01E-2748-4B5C-90E0-9A03661D9B6B}"/>
            </a:ext>
          </a:extLst>
        </xdr:cNvPr>
        <xdr:cNvSpPr txBox="1">
          <a:spLocks noChangeArrowheads="1"/>
        </xdr:cNvSpPr>
      </xdr:nvSpPr>
      <xdr:spPr bwMode="auto">
        <a:xfrm>
          <a:off x="3994150" y="18002250"/>
          <a:ext cx="1314450" cy="224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107</xdr:row>
      <xdr:rowOff>171450</xdr:rowOff>
    </xdr:from>
    <xdr:to>
      <xdr:col>5</xdr:col>
      <xdr:colOff>609600</xdr:colOff>
      <xdr:row>117</xdr:row>
      <xdr:rowOff>171450</xdr:rowOff>
    </xdr:to>
    <xdr:sp macro="" textlink="">
      <xdr:nvSpPr>
        <xdr:cNvPr id="376100" name="Text Box 292" hidden="1">
          <a:extLst>
            <a:ext uri="{FF2B5EF4-FFF2-40B4-BE49-F238E27FC236}">
              <a16:creationId xmlns:a16="http://schemas.microsoft.com/office/drawing/2014/main" id="{058D17C4-6F33-3A1D-92BD-D0284BAC20A4}"/>
            </a:ext>
          </a:extLst>
        </xdr:cNvPr>
        <xdr:cNvSpPr txBox="1">
          <a:spLocks noChangeArrowheads="1"/>
        </xdr:cNvSpPr>
      </xdr:nvSpPr>
      <xdr:spPr bwMode="auto">
        <a:xfrm>
          <a:off x="3994150" y="22421850"/>
          <a:ext cx="1314450" cy="1892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109</xdr:row>
      <xdr:rowOff>38100</xdr:rowOff>
    </xdr:from>
    <xdr:to>
      <xdr:col>5</xdr:col>
      <xdr:colOff>609600</xdr:colOff>
      <xdr:row>115</xdr:row>
      <xdr:rowOff>171450</xdr:rowOff>
    </xdr:to>
    <xdr:sp macro="" textlink="">
      <xdr:nvSpPr>
        <xdr:cNvPr id="376099" name="Text Box 291" hidden="1">
          <a:extLst>
            <a:ext uri="{FF2B5EF4-FFF2-40B4-BE49-F238E27FC236}">
              <a16:creationId xmlns:a16="http://schemas.microsoft.com/office/drawing/2014/main" id="{F5E8E312-7AB8-D84F-415A-AD795C02686A}"/>
            </a:ext>
          </a:extLst>
        </xdr:cNvPr>
        <xdr:cNvSpPr txBox="1">
          <a:spLocks noChangeArrowheads="1"/>
        </xdr:cNvSpPr>
      </xdr:nvSpPr>
      <xdr:spPr bwMode="auto">
        <a:xfrm>
          <a:off x="3994150" y="22656800"/>
          <a:ext cx="1314450" cy="128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38100</xdr:rowOff>
    </xdr:from>
    <xdr:to>
      <xdr:col>5</xdr:col>
      <xdr:colOff>609600</xdr:colOff>
      <xdr:row>115</xdr:row>
      <xdr:rowOff>0</xdr:rowOff>
    </xdr:to>
    <xdr:sp macro="" textlink="">
      <xdr:nvSpPr>
        <xdr:cNvPr id="376098" name="Text Box 290" hidden="1">
          <a:extLst>
            <a:ext uri="{FF2B5EF4-FFF2-40B4-BE49-F238E27FC236}">
              <a16:creationId xmlns:a16="http://schemas.microsoft.com/office/drawing/2014/main" id="{702A12AE-D532-0DED-E840-3D32BA6E2D20}"/>
            </a:ext>
          </a:extLst>
        </xdr:cNvPr>
        <xdr:cNvSpPr txBox="1">
          <a:spLocks noChangeArrowheads="1"/>
        </xdr:cNvSpPr>
      </xdr:nvSpPr>
      <xdr:spPr bwMode="auto">
        <a:xfrm>
          <a:off x="3994150" y="22840950"/>
          <a:ext cx="1314450" cy="933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110</xdr:row>
      <xdr:rowOff>0</xdr:rowOff>
    </xdr:from>
    <xdr:to>
      <xdr:col>5</xdr:col>
      <xdr:colOff>609600</xdr:colOff>
      <xdr:row>115</xdr:row>
      <xdr:rowOff>76200</xdr:rowOff>
    </xdr:to>
    <xdr:sp macro="" textlink="">
      <xdr:nvSpPr>
        <xdr:cNvPr id="376097" name="Text Box 289" hidden="1">
          <a:extLst>
            <a:ext uri="{FF2B5EF4-FFF2-40B4-BE49-F238E27FC236}">
              <a16:creationId xmlns:a16="http://schemas.microsoft.com/office/drawing/2014/main" id="{4B34B8E3-B146-64B8-CF5A-CCBC5C657744}"/>
            </a:ext>
          </a:extLst>
        </xdr:cNvPr>
        <xdr:cNvSpPr txBox="1">
          <a:spLocks noChangeArrowheads="1"/>
        </xdr:cNvSpPr>
      </xdr:nvSpPr>
      <xdr:spPr bwMode="auto">
        <a:xfrm>
          <a:off x="3994150" y="22802850"/>
          <a:ext cx="1314450" cy="1047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133</xdr:row>
      <xdr:rowOff>114300</xdr:rowOff>
    </xdr:from>
    <xdr:to>
      <xdr:col>21</xdr:col>
      <xdr:colOff>438150</xdr:colOff>
      <xdr:row>137</xdr:row>
      <xdr:rowOff>133350</xdr:rowOff>
    </xdr:to>
    <xdr:sp macro="" textlink="">
      <xdr:nvSpPr>
        <xdr:cNvPr id="376096" name="Text Box 288" hidden="1">
          <a:extLst>
            <a:ext uri="{FF2B5EF4-FFF2-40B4-BE49-F238E27FC236}">
              <a16:creationId xmlns:a16="http://schemas.microsoft.com/office/drawing/2014/main" id="{5EE6D865-80E0-DF3B-5564-4DDAD61D3CC0}"/>
            </a:ext>
          </a:extLst>
        </xdr:cNvPr>
        <xdr:cNvSpPr txBox="1">
          <a:spLocks noChangeArrowheads="1"/>
        </xdr:cNvSpPr>
      </xdr:nvSpPr>
      <xdr:spPr bwMode="auto">
        <a:xfrm>
          <a:off x="17513300" y="27203400"/>
          <a:ext cx="13335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76200</xdr:rowOff>
    </xdr:to>
    <xdr:sp macro="" textlink="">
      <xdr:nvSpPr>
        <xdr:cNvPr id="376095" name="Text Box 287" hidden="1">
          <a:extLst>
            <a:ext uri="{FF2B5EF4-FFF2-40B4-BE49-F238E27FC236}">
              <a16:creationId xmlns:a16="http://schemas.microsoft.com/office/drawing/2014/main" id="{90720B37-F461-0EF5-CDBB-F8C8CB204853}"/>
            </a:ext>
          </a:extLst>
        </xdr:cNvPr>
        <xdr:cNvSpPr txBox="1">
          <a:spLocks noChangeArrowheads="1"/>
        </xdr:cNvSpPr>
      </xdr:nvSpPr>
      <xdr:spPr bwMode="auto">
        <a:xfrm>
          <a:off x="18332450" y="3556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23</xdr:row>
      <xdr:rowOff>95250</xdr:rowOff>
    </xdr:from>
    <xdr:to>
      <xdr:col>22</xdr:col>
      <xdr:colOff>609600</xdr:colOff>
      <xdr:row>29</xdr:row>
      <xdr:rowOff>76200</xdr:rowOff>
    </xdr:to>
    <xdr:sp macro="" textlink="">
      <xdr:nvSpPr>
        <xdr:cNvPr id="376094" name="Text Box 286" hidden="1">
          <a:extLst>
            <a:ext uri="{FF2B5EF4-FFF2-40B4-BE49-F238E27FC236}">
              <a16:creationId xmlns:a16="http://schemas.microsoft.com/office/drawing/2014/main" id="{FA28A4C1-A9A1-F2AF-9657-2377B5C607CE}"/>
            </a:ext>
          </a:extLst>
        </xdr:cNvPr>
        <xdr:cNvSpPr txBox="1">
          <a:spLocks noChangeArrowheads="1"/>
        </xdr:cNvSpPr>
      </xdr:nvSpPr>
      <xdr:spPr bwMode="auto">
        <a:xfrm>
          <a:off x="18332450" y="55626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137</xdr:row>
      <xdr:rowOff>133350</xdr:rowOff>
    </xdr:from>
    <xdr:to>
      <xdr:col>22</xdr:col>
      <xdr:colOff>609600</xdr:colOff>
      <xdr:row>141</xdr:row>
      <xdr:rowOff>114300</xdr:rowOff>
    </xdr:to>
    <xdr:sp macro="" textlink="">
      <xdr:nvSpPr>
        <xdr:cNvPr id="376093" name="Text Box 285" hidden="1">
          <a:extLst>
            <a:ext uri="{FF2B5EF4-FFF2-40B4-BE49-F238E27FC236}">
              <a16:creationId xmlns:a16="http://schemas.microsoft.com/office/drawing/2014/main" id="{5C9A502A-A46C-3507-7BE6-83961960A827}"/>
            </a:ext>
          </a:extLst>
        </xdr:cNvPr>
        <xdr:cNvSpPr txBox="1">
          <a:spLocks noChangeArrowheads="1"/>
        </xdr:cNvSpPr>
      </xdr:nvSpPr>
      <xdr:spPr bwMode="auto">
        <a:xfrm>
          <a:off x="18332450" y="279590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32</xdr:row>
      <xdr:rowOff>95250</xdr:rowOff>
    </xdr:from>
    <xdr:to>
      <xdr:col>11</xdr:col>
      <xdr:colOff>1409700</xdr:colOff>
      <xdr:row>37</xdr:row>
      <xdr:rowOff>38100</xdr:rowOff>
    </xdr:to>
    <xdr:sp macro="" textlink="">
      <xdr:nvSpPr>
        <xdr:cNvPr id="376092" name="Text Box 284" hidden="1">
          <a:extLst>
            <a:ext uri="{FF2B5EF4-FFF2-40B4-BE49-F238E27FC236}">
              <a16:creationId xmlns:a16="http://schemas.microsoft.com/office/drawing/2014/main" id="{ECD8A705-E576-69EC-0E97-B82FBF9632D7}"/>
            </a:ext>
          </a:extLst>
        </xdr:cNvPr>
        <xdr:cNvSpPr txBox="1">
          <a:spLocks noChangeArrowheads="1"/>
        </xdr:cNvSpPr>
      </xdr:nvSpPr>
      <xdr:spPr bwMode="auto">
        <a:xfrm>
          <a:off x="9359900" y="72199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171450</xdr:rowOff>
    </xdr:to>
    <xdr:sp macro="" textlink="">
      <xdr:nvSpPr>
        <xdr:cNvPr id="376091" name="Text Box 283" hidden="1">
          <a:extLst>
            <a:ext uri="{FF2B5EF4-FFF2-40B4-BE49-F238E27FC236}">
              <a16:creationId xmlns:a16="http://schemas.microsoft.com/office/drawing/2014/main" id="{DF12F305-C14A-7C97-A825-338CD5AAB480}"/>
            </a:ext>
          </a:extLst>
        </xdr:cNvPr>
        <xdr:cNvSpPr txBox="1">
          <a:spLocks noChangeArrowheads="1"/>
        </xdr:cNvSpPr>
      </xdr:nvSpPr>
      <xdr:spPr bwMode="auto">
        <a:xfrm>
          <a:off x="20027900" y="35560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95250</xdr:rowOff>
    </xdr:from>
    <xdr:to>
      <xdr:col>24</xdr:col>
      <xdr:colOff>647700</xdr:colOff>
      <xdr:row>29</xdr:row>
      <xdr:rowOff>152400</xdr:rowOff>
    </xdr:to>
    <xdr:sp macro="" textlink="">
      <xdr:nvSpPr>
        <xdr:cNvPr id="376090" name="Text Box 282" hidden="1">
          <a:extLst>
            <a:ext uri="{FF2B5EF4-FFF2-40B4-BE49-F238E27FC236}">
              <a16:creationId xmlns:a16="http://schemas.microsoft.com/office/drawing/2014/main" id="{DCAD4EEE-5B13-F9F2-6997-A8EC7DD770ED}"/>
            </a:ext>
          </a:extLst>
        </xdr:cNvPr>
        <xdr:cNvSpPr txBox="1">
          <a:spLocks noChangeArrowheads="1"/>
        </xdr:cNvSpPr>
      </xdr:nvSpPr>
      <xdr:spPr bwMode="auto">
        <a:xfrm>
          <a:off x="20027900" y="556260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137</xdr:row>
      <xdr:rowOff>133350</xdr:rowOff>
    </xdr:from>
    <xdr:to>
      <xdr:col>24</xdr:col>
      <xdr:colOff>647700</xdr:colOff>
      <xdr:row>142</xdr:row>
      <xdr:rowOff>38100</xdr:rowOff>
    </xdr:to>
    <xdr:sp macro="" textlink="">
      <xdr:nvSpPr>
        <xdr:cNvPr id="376089" name="Text Box 281" hidden="1">
          <a:extLst>
            <a:ext uri="{FF2B5EF4-FFF2-40B4-BE49-F238E27FC236}">
              <a16:creationId xmlns:a16="http://schemas.microsoft.com/office/drawing/2014/main" id="{43A7FAA0-9282-9967-B4AC-EE51F3592C15}"/>
            </a:ext>
          </a:extLst>
        </xdr:cNvPr>
        <xdr:cNvSpPr txBox="1">
          <a:spLocks noChangeArrowheads="1"/>
        </xdr:cNvSpPr>
      </xdr:nvSpPr>
      <xdr:spPr bwMode="auto">
        <a:xfrm>
          <a:off x="20027900" y="279590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133350</xdr:rowOff>
    </xdr:to>
    <xdr:sp macro="" textlink="">
      <xdr:nvSpPr>
        <xdr:cNvPr id="376088" name="Text Box 280" hidden="1">
          <a:extLst>
            <a:ext uri="{FF2B5EF4-FFF2-40B4-BE49-F238E27FC236}">
              <a16:creationId xmlns:a16="http://schemas.microsoft.com/office/drawing/2014/main" id="{D2F2A6C5-9461-3231-995A-2DA9A461ABD2}"/>
            </a:ext>
          </a:extLst>
        </xdr:cNvPr>
        <xdr:cNvSpPr txBox="1">
          <a:spLocks noChangeArrowheads="1"/>
        </xdr:cNvSpPr>
      </xdr:nvSpPr>
      <xdr:spPr bwMode="auto">
        <a:xfrm>
          <a:off x="20789900" y="3575050"/>
          <a:ext cx="13144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23</xdr:row>
      <xdr:rowOff>114300</xdr:rowOff>
    </xdr:from>
    <xdr:to>
      <xdr:col>25</xdr:col>
      <xdr:colOff>647700</xdr:colOff>
      <xdr:row>29</xdr:row>
      <xdr:rowOff>95250</xdr:rowOff>
    </xdr:to>
    <xdr:sp macro="" textlink="">
      <xdr:nvSpPr>
        <xdr:cNvPr id="376087" name="Text Box 279" hidden="1">
          <a:extLst>
            <a:ext uri="{FF2B5EF4-FFF2-40B4-BE49-F238E27FC236}">
              <a16:creationId xmlns:a16="http://schemas.microsoft.com/office/drawing/2014/main" id="{7BDAB598-C1FA-92A7-F125-A59DAC0261F8}"/>
            </a:ext>
          </a:extLst>
        </xdr:cNvPr>
        <xdr:cNvSpPr txBox="1">
          <a:spLocks noChangeArrowheads="1"/>
        </xdr:cNvSpPr>
      </xdr:nvSpPr>
      <xdr:spPr bwMode="auto">
        <a:xfrm>
          <a:off x="20789900" y="5581650"/>
          <a:ext cx="131445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137</xdr:row>
      <xdr:rowOff>152400</xdr:rowOff>
    </xdr:from>
    <xdr:to>
      <xdr:col>25</xdr:col>
      <xdr:colOff>647700</xdr:colOff>
      <xdr:row>142</xdr:row>
      <xdr:rowOff>0</xdr:rowOff>
    </xdr:to>
    <xdr:sp macro="" textlink="">
      <xdr:nvSpPr>
        <xdr:cNvPr id="376086" name="Text Box 278" hidden="1">
          <a:extLst>
            <a:ext uri="{FF2B5EF4-FFF2-40B4-BE49-F238E27FC236}">
              <a16:creationId xmlns:a16="http://schemas.microsoft.com/office/drawing/2014/main" id="{466D23E9-74CE-847F-1873-A797BD3B0810}"/>
            </a:ext>
          </a:extLst>
        </xdr:cNvPr>
        <xdr:cNvSpPr txBox="1">
          <a:spLocks noChangeArrowheads="1"/>
        </xdr:cNvSpPr>
      </xdr:nvSpPr>
      <xdr:spPr bwMode="auto">
        <a:xfrm>
          <a:off x="20789900" y="279781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36</xdr:row>
      <xdr:rowOff>76200</xdr:rowOff>
    </xdr:from>
    <xdr:to>
      <xdr:col>11</xdr:col>
      <xdr:colOff>1504950</xdr:colOff>
      <xdr:row>40</xdr:row>
      <xdr:rowOff>114300</xdr:rowOff>
    </xdr:to>
    <xdr:sp macro="" textlink="">
      <xdr:nvSpPr>
        <xdr:cNvPr id="376119" name="Text Box 311" hidden="1">
          <a:extLst>
            <a:ext uri="{FF2B5EF4-FFF2-40B4-BE49-F238E27FC236}">
              <a16:creationId xmlns:a16="http://schemas.microsoft.com/office/drawing/2014/main" id="{8606B32F-07D8-ECBC-6489-C5912C1049BC}"/>
            </a:ext>
          </a:extLst>
        </xdr:cNvPr>
        <xdr:cNvSpPr txBox="1">
          <a:spLocks noChangeArrowheads="1"/>
        </xdr:cNvSpPr>
      </xdr:nvSpPr>
      <xdr:spPr bwMode="auto">
        <a:xfrm>
          <a:off x="9398000" y="7937500"/>
          <a:ext cx="13716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133350</xdr:colOff>
      <xdr:row>36</xdr:row>
      <xdr:rowOff>76200</xdr:rowOff>
    </xdr:from>
    <xdr:to>
      <xdr:col>13</xdr:col>
      <xdr:colOff>666750</xdr:colOff>
      <xdr:row>40</xdr:row>
      <xdr:rowOff>114300</xdr:rowOff>
    </xdr:to>
    <xdr:sp macro="" textlink="">
      <xdr:nvSpPr>
        <xdr:cNvPr id="376120" name="Text Box 312" hidden="1">
          <a:extLst>
            <a:ext uri="{FF2B5EF4-FFF2-40B4-BE49-F238E27FC236}">
              <a16:creationId xmlns:a16="http://schemas.microsoft.com/office/drawing/2014/main" id="{EC74BB19-DA55-45D9-D2C5-349F9DC1D2DD}"/>
            </a:ext>
          </a:extLst>
        </xdr:cNvPr>
        <xdr:cNvSpPr txBox="1">
          <a:spLocks noChangeArrowheads="1"/>
        </xdr:cNvSpPr>
      </xdr:nvSpPr>
      <xdr:spPr bwMode="auto">
        <a:xfrm>
          <a:off x="11125200" y="7937500"/>
          <a:ext cx="14033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331770</xdr:rowOff>
    </xdr:from>
    <xdr:to>
      <xdr:col>3</xdr:col>
      <xdr:colOff>609600</xdr:colOff>
      <xdr:row>62</xdr:row>
      <xdr:rowOff>331770</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59</xdr:row>
      <xdr:rowOff>121836</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275666</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18666</xdr:rowOff>
    </xdr:from>
    <xdr:to>
      <xdr:col>3</xdr:col>
      <xdr:colOff>495300</xdr:colOff>
      <xdr:row>62</xdr:row>
      <xdr:rowOff>48567</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172496</xdr:rowOff>
    </xdr:from>
    <xdr:to>
      <xdr:col>3</xdr:col>
      <xdr:colOff>495300</xdr:colOff>
      <xdr:row>63</xdr:row>
      <xdr:rowOff>3524</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61</xdr:row>
      <xdr:rowOff>127453</xdr:rowOff>
    </xdr:from>
    <xdr:to>
      <xdr:col>3</xdr:col>
      <xdr:colOff>495300</xdr:colOff>
      <xdr:row>64</xdr:row>
      <xdr:rowOff>7292</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282610</xdr:rowOff>
    </xdr:from>
    <xdr:to>
      <xdr:col>3</xdr:col>
      <xdr:colOff>609600</xdr:colOff>
      <xdr:row>66</xdr:row>
      <xdr:rowOff>282610</xdr:rowOff>
    </xdr:to>
    <xdr:sp macro="" textlink="">
      <xdr:nvSpPr>
        <xdr:cNvPr id="376902" name="Text Box 70" hidden="1">
          <a:extLst>
            <a:ext uri="{FF2B5EF4-FFF2-40B4-BE49-F238E27FC236}">
              <a16:creationId xmlns:a16="http://schemas.microsoft.com/office/drawing/2014/main" id="{A5FDD895-DB3A-F39B-3B37-5C380BBE8D37}"/>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53382</xdr:rowOff>
    </xdr:from>
    <xdr:to>
      <xdr:col>3</xdr:col>
      <xdr:colOff>495300</xdr:colOff>
      <xdr:row>63</xdr:row>
      <xdr:rowOff>331177</xdr:rowOff>
    </xdr:to>
    <xdr:sp macro="" textlink="">
      <xdr:nvSpPr>
        <xdr:cNvPr id="376901" name="Text Box 69" hidden="1">
          <a:extLst>
            <a:ext uri="{FF2B5EF4-FFF2-40B4-BE49-F238E27FC236}">
              <a16:creationId xmlns:a16="http://schemas.microsoft.com/office/drawing/2014/main" id="{7A21E931-DC5C-E1B1-D7E4-E09E663890C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331177</xdr:rowOff>
    </xdr:from>
    <xdr:to>
      <xdr:col>3</xdr:col>
      <xdr:colOff>495300</xdr:colOff>
      <xdr:row>64</xdr:row>
      <xdr:rowOff>186731</xdr:rowOff>
    </xdr:to>
    <xdr:sp macro="" textlink="">
      <xdr:nvSpPr>
        <xdr:cNvPr id="376900" name="Text Box 68" hidden="1">
          <a:extLst>
            <a:ext uri="{FF2B5EF4-FFF2-40B4-BE49-F238E27FC236}">
              <a16:creationId xmlns:a16="http://schemas.microsoft.com/office/drawing/2014/main" id="{7367417A-9A8F-B79E-666C-EFE581A6C1C8}"/>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186731</xdr:rowOff>
    </xdr:from>
    <xdr:to>
      <xdr:col>3</xdr:col>
      <xdr:colOff>495300</xdr:colOff>
      <xdr:row>65</xdr:row>
      <xdr:rowOff>34331</xdr:rowOff>
    </xdr:to>
    <xdr:sp macro="" textlink="">
      <xdr:nvSpPr>
        <xdr:cNvPr id="376899" name="Text Box 67" hidden="1">
          <a:extLst>
            <a:ext uri="{FF2B5EF4-FFF2-40B4-BE49-F238E27FC236}">
              <a16:creationId xmlns:a16="http://schemas.microsoft.com/office/drawing/2014/main" id="{FDE2F8D0-4130-0BBB-9E03-42587C9E8EF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34331</xdr:rowOff>
    </xdr:from>
    <xdr:to>
      <xdr:col>3</xdr:col>
      <xdr:colOff>495300</xdr:colOff>
      <xdr:row>65</xdr:row>
      <xdr:rowOff>224831</xdr:rowOff>
    </xdr:to>
    <xdr:sp macro="" textlink="">
      <xdr:nvSpPr>
        <xdr:cNvPr id="376898" name="Text Box 66" hidden="1">
          <a:extLst>
            <a:ext uri="{FF2B5EF4-FFF2-40B4-BE49-F238E27FC236}">
              <a16:creationId xmlns:a16="http://schemas.microsoft.com/office/drawing/2014/main" id="{25936F9F-4D29-BD4A-A1B8-4342B3ABCA73}"/>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224831</xdr:rowOff>
    </xdr:from>
    <xdr:to>
      <xdr:col>3</xdr:col>
      <xdr:colOff>495300</xdr:colOff>
      <xdr:row>66</xdr:row>
      <xdr:rowOff>72432</xdr:rowOff>
    </xdr:to>
    <xdr:sp macro="" textlink="">
      <xdr:nvSpPr>
        <xdr:cNvPr id="376897" name="Text Box 65" hidden="1">
          <a:extLst>
            <a:ext uri="{FF2B5EF4-FFF2-40B4-BE49-F238E27FC236}">
              <a16:creationId xmlns:a16="http://schemas.microsoft.com/office/drawing/2014/main" id="{5A8A868D-8668-0B45-6808-18815D0ABC5F}"/>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66</xdr:row>
      <xdr:rowOff>91482</xdr:rowOff>
    </xdr:from>
    <xdr:to>
      <xdr:col>3</xdr:col>
      <xdr:colOff>495300</xdr:colOff>
      <xdr:row>67</xdr:row>
      <xdr:rowOff>23865</xdr:rowOff>
    </xdr:to>
    <xdr:sp macro="" textlink="">
      <xdr:nvSpPr>
        <xdr:cNvPr id="376896" name="Text Box 64" hidden="1">
          <a:extLst>
            <a:ext uri="{FF2B5EF4-FFF2-40B4-BE49-F238E27FC236}">
              <a16:creationId xmlns:a16="http://schemas.microsoft.com/office/drawing/2014/main" id="{E9A6EF0C-0C87-5C2F-BA98-50BB23E7FB7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300" name="Text Box 1036" hidden="1">
          <a:extLst>
            <a:ext uri="{FF2B5EF4-FFF2-40B4-BE49-F238E27FC236}">
              <a16:creationId xmlns:a16="http://schemas.microsoft.com/office/drawing/2014/main" id="{1C36C1B8-F3DF-169E-BA15-AD4C2B526D8B}"/>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9" name="Text Box 1035" hidden="1">
          <a:extLst>
            <a:ext uri="{FF2B5EF4-FFF2-40B4-BE49-F238E27FC236}">
              <a16:creationId xmlns:a16="http://schemas.microsoft.com/office/drawing/2014/main" id="{766BA7DA-4D42-68EA-F587-4A7342F2B889}"/>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8" name="Text Box 6" hidden="1">
          <a:extLst>
            <a:ext uri="{FF2B5EF4-FFF2-40B4-BE49-F238E27FC236}">
              <a16:creationId xmlns:a16="http://schemas.microsoft.com/office/drawing/2014/main" id="{D36770B6-74DF-9DE1-AF0B-1340986C422B}"/>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6" name="Text Box 10" hidden="1">
          <a:extLst>
            <a:ext uri="{FF2B5EF4-FFF2-40B4-BE49-F238E27FC236}">
              <a16:creationId xmlns:a16="http://schemas.microsoft.com/office/drawing/2014/main" id="{BD351F30-63D6-7E16-9E04-075433EC2A7A}"/>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5" name="Text Box 9" hidden="1">
          <a:extLst>
            <a:ext uri="{FF2B5EF4-FFF2-40B4-BE49-F238E27FC236}">
              <a16:creationId xmlns:a16="http://schemas.microsoft.com/office/drawing/2014/main" id="{EAD96442-437F-980A-719C-DFB1745ED5BA}"/>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5" name="Text Box 1035" hidden="1">
          <a:extLst>
            <a:ext uri="{FF2B5EF4-FFF2-40B4-BE49-F238E27FC236}">
              <a16:creationId xmlns:a16="http://schemas.microsoft.com/office/drawing/2014/main" id="{8E9732D6-8C81-8A35-E872-C95DA13D296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8" name="Text Box 30" hidden="1">
          <a:extLst>
            <a:ext uri="{FF2B5EF4-FFF2-40B4-BE49-F238E27FC236}">
              <a16:creationId xmlns:a16="http://schemas.microsoft.com/office/drawing/2014/main" id="{FD280310-00EB-D1C3-3111-617430AEED5F}"/>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7" name="Text Box 29" hidden="1">
          <a:extLst>
            <a:ext uri="{FF2B5EF4-FFF2-40B4-BE49-F238E27FC236}">
              <a16:creationId xmlns:a16="http://schemas.microsoft.com/office/drawing/2014/main" id="{48F85B53-1706-5654-36D1-9B908917B685}"/>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6" name="Text Box 28" hidden="1">
          <a:extLst>
            <a:ext uri="{FF2B5EF4-FFF2-40B4-BE49-F238E27FC236}">
              <a16:creationId xmlns:a16="http://schemas.microsoft.com/office/drawing/2014/main" id="{978C4297-2843-5A12-D25F-4C73AEE1DAC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22" name="Text Box 30" hidden="1">
          <a:extLst>
            <a:ext uri="{FF2B5EF4-FFF2-40B4-BE49-F238E27FC236}">
              <a16:creationId xmlns:a16="http://schemas.microsoft.com/office/drawing/2014/main" id="{ADE16144-A7FB-7066-2EF4-84DB1A857A0A}"/>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21" name="Text Box 29" hidden="1">
          <a:extLst>
            <a:ext uri="{FF2B5EF4-FFF2-40B4-BE49-F238E27FC236}">
              <a16:creationId xmlns:a16="http://schemas.microsoft.com/office/drawing/2014/main" id="{03103931-C9ED-EB04-5F2D-1F187C17CF5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20" name="Text Box 28" hidden="1">
          <a:extLst>
            <a:ext uri="{FF2B5EF4-FFF2-40B4-BE49-F238E27FC236}">
              <a16:creationId xmlns:a16="http://schemas.microsoft.com/office/drawing/2014/main" id="{589406E7-4A8F-4C38-C15B-4528C896B223}"/>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157131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119754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157131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44354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44354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119676</xdr:rowOff>
    </xdr:from>
    <xdr:to>
      <xdr:col>20</xdr:col>
      <xdr:colOff>381000</xdr:colOff>
      <xdr:row>106</xdr:row>
      <xdr:rowOff>281805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156165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146452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24142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155870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22581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128892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4</xdr:col>
      <xdr:colOff>800100</xdr:colOff>
      <xdr:row>54</xdr:row>
      <xdr:rowOff>176212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41275</xdr:rowOff>
    </xdr:from>
    <xdr:to>
      <xdr:col>20</xdr:col>
      <xdr:colOff>381000</xdr:colOff>
      <xdr:row>119</xdr:row>
      <xdr:rowOff>100012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123825</xdr:colOff>
      <xdr:row>113</xdr:row>
      <xdr:rowOff>80962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4" name="Text Box 138" hidden="1">
          <a:extLst>
            <a:ext uri="{FF2B5EF4-FFF2-40B4-BE49-F238E27FC236}">
              <a16:creationId xmlns:a16="http://schemas.microsoft.com/office/drawing/2014/main" id="{4E3F4DED-A2D1-2020-20BA-DC10D053ECD2}"/>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53" name="Text Box 137" hidden="1">
          <a:extLst>
            <a:ext uri="{FF2B5EF4-FFF2-40B4-BE49-F238E27FC236}">
              <a16:creationId xmlns:a16="http://schemas.microsoft.com/office/drawing/2014/main" id="{32C29962-3297-2316-2517-39CECCD9C71C}"/>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52" name="Text Box 136" hidden="1">
          <a:extLst>
            <a:ext uri="{FF2B5EF4-FFF2-40B4-BE49-F238E27FC236}">
              <a16:creationId xmlns:a16="http://schemas.microsoft.com/office/drawing/2014/main" id="{E05F2753-EF5D-577B-D9E9-3E506CC6E351}"/>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51" name="Text Box 135" hidden="1">
          <a:extLst>
            <a:ext uri="{FF2B5EF4-FFF2-40B4-BE49-F238E27FC236}">
              <a16:creationId xmlns:a16="http://schemas.microsoft.com/office/drawing/2014/main" id="{1CF512FC-6F85-CC41-5FCD-BDC951279885}"/>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50" name="Text Box 134" hidden="1">
          <a:extLst>
            <a:ext uri="{FF2B5EF4-FFF2-40B4-BE49-F238E27FC236}">
              <a16:creationId xmlns:a16="http://schemas.microsoft.com/office/drawing/2014/main" id="{09F45BCA-E840-05A6-5D6F-19B88947600D}"/>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49" name="Text Box 133" hidden="1">
          <a:extLst>
            <a:ext uri="{FF2B5EF4-FFF2-40B4-BE49-F238E27FC236}">
              <a16:creationId xmlns:a16="http://schemas.microsoft.com/office/drawing/2014/main" id="{8E4A38E8-536A-750B-DE64-639632E8CA71}"/>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48" name="Text Box 132" hidden="1">
          <a:extLst>
            <a:ext uri="{FF2B5EF4-FFF2-40B4-BE49-F238E27FC236}">
              <a16:creationId xmlns:a16="http://schemas.microsoft.com/office/drawing/2014/main" id="{7023F255-5122-7B44-6CCA-A0D62D0ECF8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47" name="Text Box 131" hidden="1">
          <a:extLst>
            <a:ext uri="{FF2B5EF4-FFF2-40B4-BE49-F238E27FC236}">
              <a16:creationId xmlns:a16="http://schemas.microsoft.com/office/drawing/2014/main" id="{AA8305C8-B50A-B807-F257-8076A4D4DA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46" name="Text Box 130" hidden="1">
          <a:extLst>
            <a:ext uri="{FF2B5EF4-FFF2-40B4-BE49-F238E27FC236}">
              <a16:creationId xmlns:a16="http://schemas.microsoft.com/office/drawing/2014/main" id="{FFDB203F-B7B8-1363-613D-3CF140B0ACD4}"/>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45" name="Text Box 129" hidden="1">
          <a:extLst>
            <a:ext uri="{FF2B5EF4-FFF2-40B4-BE49-F238E27FC236}">
              <a16:creationId xmlns:a16="http://schemas.microsoft.com/office/drawing/2014/main" id="{34F72CA4-C4FE-9E75-9F64-6B83554F2B96}"/>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44" name="Text Box 128" hidden="1">
          <a:extLst>
            <a:ext uri="{FF2B5EF4-FFF2-40B4-BE49-F238E27FC236}">
              <a16:creationId xmlns:a16="http://schemas.microsoft.com/office/drawing/2014/main" id="{93C7F93F-FCD1-457F-3F2D-D24D7359F7C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43" name="Text Box 127" hidden="1">
          <a:extLst>
            <a:ext uri="{FF2B5EF4-FFF2-40B4-BE49-F238E27FC236}">
              <a16:creationId xmlns:a16="http://schemas.microsoft.com/office/drawing/2014/main" id="{37DC8980-D352-64CB-AD51-9EC3C7451195}"/>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42" name="Text Box 126" hidden="1">
          <a:extLst>
            <a:ext uri="{FF2B5EF4-FFF2-40B4-BE49-F238E27FC236}">
              <a16:creationId xmlns:a16="http://schemas.microsoft.com/office/drawing/2014/main" id="{E5A374D3-5EA9-4192-61B3-6AC5C439BA6D}"/>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41" name="Text Box 125" hidden="1">
          <a:extLst>
            <a:ext uri="{FF2B5EF4-FFF2-40B4-BE49-F238E27FC236}">
              <a16:creationId xmlns:a16="http://schemas.microsoft.com/office/drawing/2014/main" id="{36F4AA16-86BD-FD25-17E5-A1BFA880515B}"/>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40" name="Text Box 124" hidden="1">
          <a:extLst>
            <a:ext uri="{FF2B5EF4-FFF2-40B4-BE49-F238E27FC236}">
              <a16:creationId xmlns:a16="http://schemas.microsoft.com/office/drawing/2014/main" id="{05D8B8F7-43AC-A3C0-7AB7-CBBEC6C87B59}"/>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54</xdr:row>
      <xdr:rowOff>4444</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5267</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5267</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5267</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700" name="Text Box 60" hidden="1">
          <a:extLst>
            <a:ext uri="{FF2B5EF4-FFF2-40B4-BE49-F238E27FC236}">
              <a16:creationId xmlns:a16="http://schemas.microsoft.com/office/drawing/2014/main" id="{A9A57CF0-E9A9-9B55-FF16-23F194A8A81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9" name="Text Box 59" hidden="1">
          <a:extLst>
            <a:ext uri="{FF2B5EF4-FFF2-40B4-BE49-F238E27FC236}">
              <a16:creationId xmlns:a16="http://schemas.microsoft.com/office/drawing/2014/main" id="{24004578-4846-EB7F-0B1B-779164184523}"/>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8" name="Text Box 58" hidden="1">
          <a:extLst>
            <a:ext uri="{FF2B5EF4-FFF2-40B4-BE49-F238E27FC236}">
              <a16:creationId xmlns:a16="http://schemas.microsoft.com/office/drawing/2014/main" id="{00DF482C-BFEE-8AC2-D0E9-00581F967747}"/>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7" name="Text Box 57" hidden="1">
          <a:extLst>
            <a:ext uri="{FF2B5EF4-FFF2-40B4-BE49-F238E27FC236}">
              <a16:creationId xmlns:a16="http://schemas.microsoft.com/office/drawing/2014/main" id="{9BEC5A8A-18D8-2B7A-B07A-D444F76FA7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6" name="Text Box 56" hidden="1">
          <a:extLst>
            <a:ext uri="{FF2B5EF4-FFF2-40B4-BE49-F238E27FC236}">
              <a16:creationId xmlns:a16="http://schemas.microsoft.com/office/drawing/2014/main" id="{353E3DC0-EDFD-0EB5-5995-A0F00192898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44" name="Text Box 80" hidden="1">
          <a:extLst>
            <a:ext uri="{FF2B5EF4-FFF2-40B4-BE49-F238E27FC236}">
              <a16:creationId xmlns:a16="http://schemas.microsoft.com/office/drawing/2014/main" id="{61AAF747-9DED-6654-9E4B-11FAD88D730E}"/>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43" name="Text Box 79" hidden="1">
          <a:extLst>
            <a:ext uri="{FF2B5EF4-FFF2-40B4-BE49-F238E27FC236}">
              <a16:creationId xmlns:a16="http://schemas.microsoft.com/office/drawing/2014/main" id="{CAB4E33F-CBCB-6547-3CAA-28AFBA1AD5C5}"/>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42" name="Text Box 78" hidden="1">
          <a:extLst>
            <a:ext uri="{FF2B5EF4-FFF2-40B4-BE49-F238E27FC236}">
              <a16:creationId xmlns:a16="http://schemas.microsoft.com/office/drawing/2014/main" id="{81821B20-B9B9-43E8-1549-E32A01601F84}"/>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41" name="Text Box 77" hidden="1">
          <a:extLst>
            <a:ext uri="{FF2B5EF4-FFF2-40B4-BE49-F238E27FC236}">
              <a16:creationId xmlns:a16="http://schemas.microsoft.com/office/drawing/2014/main" id="{EDEABE79-3184-B6AE-E160-47C00542EF2E}"/>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40" name="Text Box 76" hidden="1">
          <a:extLst>
            <a:ext uri="{FF2B5EF4-FFF2-40B4-BE49-F238E27FC236}">
              <a16:creationId xmlns:a16="http://schemas.microsoft.com/office/drawing/2014/main" id="{8EF1EAB1-3199-E0F5-22EF-658235F3E20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9" name="Text Box 75" hidden="1">
          <a:extLst>
            <a:ext uri="{FF2B5EF4-FFF2-40B4-BE49-F238E27FC236}">
              <a16:creationId xmlns:a16="http://schemas.microsoft.com/office/drawing/2014/main" id="{089D2138-FE34-E7F3-02EC-B67251B2E068}"/>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8" name="Text Box 74" hidden="1">
          <a:extLst>
            <a:ext uri="{FF2B5EF4-FFF2-40B4-BE49-F238E27FC236}">
              <a16:creationId xmlns:a16="http://schemas.microsoft.com/office/drawing/2014/main" id="{F7FC16D8-B6E0-1F7F-1A58-F8847B5905A9}"/>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37" name="Text Box 73" hidden="1">
          <a:extLst>
            <a:ext uri="{FF2B5EF4-FFF2-40B4-BE49-F238E27FC236}">
              <a16:creationId xmlns:a16="http://schemas.microsoft.com/office/drawing/2014/main" id="{6BD2AB15-448D-BBB9-3AEF-07B414D8DADE}"/>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34572</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22</xdr:row>
      <xdr:rowOff>93133</xdr:rowOff>
    </xdr:from>
    <xdr:to>
      <xdr:col>4</xdr:col>
      <xdr:colOff>0</xdr:colOff>
      <xdr:row>29</xdr:row>
      <xdr:rowOff>34572</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70909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25</xdr:row>
      <xdr:rowOff>51859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27</xdr:row>
      <xdr:rowOff>192617</xdr:rowOff>
    </xdr:from>
    <xdr:to>
      <xdr:col>23</xdr:col>
      <xdr:colOff>133350</xdr:colOff>
      <xdr:row>31</xdr:row>
      <xdr:rowOff>33867</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295275</xdr:colOff>
      <xdr:row>27</xdr:row>
      <xdr:rowOff>192617</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24</xdr:row>
      <xdr:rowOff>70908</xdr:rowOff>
    </xdr:from>
    <xdr:to>
      <xdr:col>24</xdr:col>
      <xdr:colOff>285750</xdr:colOff>
      <xdr:row>27</xdr:row>
      <xdr:rowOff>192617</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23</xdr:row>
      <xdr:rowOff>43392</xdr:rowOff>
    </xdr:from>
    <xdr:to>
      <xdr:col>25</xdr:col>
      <xdr:colOff>152400</xdr:colOff>
      <xdr:row>27</xdr:row>
      <xdr:rowOff>1</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55" name="Text Box 67" hidden="1">
          <a:extLst>
            <a:ext uri="{FF2B5EF4-FFF2-40B4-BE49-F238E27FC236}">
              <a16:creationId xmlns:a16="http://schemas.microsoft.com/office/drawing/2014/main" id="{378FC88D-B456-B92F-752D-C02B49A65425}"/>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54" name="Text Box 66" hidden="1">
          <a:extLst>
            <a:ext uri="{FF2B5EF4-FFF2-40B4-BE49-F238E27FC236}">
              <a16:creationId xmlns:a16="http://schemas.microsoft.com/office/drawing/2014/main" id="{9D5AA01F-90E0-E32B-3AE6-BA3A43CB67CC}"/>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31</xdr:row>
      <xdr:rowOff>179917</xdr:rowOff>
    </xdr:from>
    <xdr:to>
      <xdr:col>24</xdr:col>
      <xdr:colOff>285750</xdr:colOff>
      <xdr:row>36</xdr:row>
      <xdr:rowOff>63500</xdr:rowOff>
    </xdr:to>
    <xdr:sp macro="" textlink="">
      <xdr:nvSpPr>
        <xdr:cNvPr id="370753" name="Text Box 65" hidden="1">
          <a:extLst>
            <a:ext uri="{FF2B5EF4-FFF2-40B4-BE49-F238E27FC236}">
              <a16:creationId xmlns:a16="http://schemas.microsoft.com/office/drawing/2014/main" id="{BFC2D8BD-8AFA-5FB2-4ED6-19F561F05294}"/>
            </a:ext>
          </a:extLst>
        </xdr:cNvPr>
        <xdr:cNvSpPr txBox="1">
          <a:spLocks noChangeArrowheads="1"/>
        </xdr:cNvSpPr>
      </xdr:nvSpPr>
      <xdr:spPr bwMode="auto">
        <a:xfrm>
          <a:off x="15970250" y="9048750"/>
          <a:ext cx="141605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30</xdr:row>
      <xdr:rowOff>67734</xdr:rowOff>
    </xdr:from>
    <xdr:to>
      <xdr:col>25</xdr:col>
      <xdr:colOff>152400</xdr:colOff>
      <xdr:row>36</xdr:row>
      <xdr:rowOff>120650</xdr:rowOff>
    </xdr:to>
    <xdr:sp macro="" textlink="">
      <xdr:nvSpPr>
        <xdr:cNvPr id="370752" name="Text Box 64" hidden="1">
          <a:extLst>
            <a:ext uri="{FF2B5EF4-FFF2-40B4-BE49-F238E27FC236}">
              <a16:creationId xmlns:a16="http://schemas.microsoft.com/office/drawing/2014/main" id="{9737E792-424E-1554-4C04-D19761325DEE}"/>
            </a:ext>
          </a:extLst>
        </xdr:cNvPr>
        <xdr:cNvSpPr txBox="1">
          <a:spLocks noChangeArrowheads="1"/>
        </xdr:cNvSpPr>
      </xdr:nvSpPr>
      <xdr:spPr bwMode="auto">
        <a:xfrm>
          <a:off x="16554450" y="8699500"/>
          <a:ext cx="1339850" cy="1358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51" name="Text Box 63" hidden="1">
          <a:extLst>
            <a:ext uri="{FF2B5EF4-FFF2-40B4-BE49-F238E27FC236}">
              <a16:creationId xmlns:a16="http://schemas.microsoft.com/office/drawing/2014/main" id="{79989197-A0F8-79D7-F0F8-66C4CCC89A1F}"/>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285750</xdr:rowOff>
    </xdr:to>
    <xdr:sp macro="" textlink="">
      <xdr:nvSpPr>
        <xdr:cNvPr id="370750" name="Text Box 62" hidden="1">
          <a:extLst>
            <a:ext uri="{FF2B5EF4-FFF2-40B4-BE49-F238E27FC236}">
              <a16:creationId xmlns:a16="http://schemas.microsoft.com/office/drawing/2014/main" id="{C1CAADD9-E592-D45E-A3A7-202E7DAAF434}"/>
            </a:ext>
          </a:extLst>
        </xdr:cNvPr>
        <xdr:cNvSpPr txBox="1">
          <a:spLocks noChangeArrowheads="1"/>
        </xdr:cNvSpPr>
      </xdr:nvSpPr>
      <xdr:spPr bwMode="auto">
        <a:xfrm>
          <a:off x="72263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285750</xdr:rowOff>
    </xdr:to>
    <xdr:sp macro="" textlink="">
      <xdr:nvSpPr>
        <xdr:cNvPr id="370749" name="Text Box 61" hidden="1">
          <a:extLst>
            <a:ext uri="{FF2B5EF4-FFF2-40B4-BE49-F238E27FC236}">
              <a16:creationId xmlns:a16="http://schemas.microsoft.com/office/drawing/2014/main" id="{5A14E0C7-1391-1732-A361-EF08FA3597C2}"/>
            </a:ext>
          </a:extLst>
        </xdr:cNvPr>
        <xdr:cNvSpPr txBox="1">
          <a:spLocks noChangeArrowheads="1"/>
        </xdr:cNvSpPr>
      </xdr:nvSpPr>
      <xdr:spPr bwMode="auto">
        <a:xfrm>
          <a:off x="6705600" y="5848350"/>
          <a:ext cx="13081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22</xdr:row>
      <xdr:rowOff>152400</xdr:rowOff>
    </xdr:from>
    <xdr:to>
      <xdr:col>3</xdr:col>
      <xdr:colOff>647700</xdr:colOff>
      <xdr:row>26</xdr:row>
      <xdr:rowOff>177800</xdr:rowOff>
    </xdr:to>
    <xdr:sp macro="" textlink="">
      <xdr:nvSpPr>
        <xdr:cNvPr id="370756" name="Text Box 68" hidden="1">
          <a:extLst>
            <a:ext uri="{FF2B5EF4-FFF2-40B4-BE49-F238E27FC236}">
              <a16:creationId xmlns:a16="http://schemas.microsoft.com/office/drawing/2014/main" id="{998A8E64-D6BD-4847-6BE0-1C2023866221}"/>
            </a:ext>
          </a:extLst>
        </xdr:cNvPr>
        <xdr:cNvSpPr txBox="1">
          <a:spLocks noChangeArrowheads="1"/>
        </xdr:cNvSpPr>
      </xdr:nvSpPr>
      <xdr:spPr bwMode="auto">
        <a:xfrm>
          <a:off x="3079750" y="7073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28</xdr:row>
      <xdr:rowOff>141817</xdr:rowOff>
    </xdr:from>
    <xdr:to>
      <xdr:col>9</xdr:col>
      <xdr:colOff>361950</xdr:colOff>
      <xdr:row>31</xdr:row>
      <xdr:rowOff>198967</xdr:rowOff>
    </xdr:to>
    <xdr:sp macro="" textlink="">
      <xdr:nvSpPr>
        <xdr:cNvPr id="370757" name="Text Box 69" hidden="1">
          <a:extLst>
            <a:ext uri="{FF2B5EF4-FFF2-40B4-BE49-F238E27FC236}">
              <a16:creationId xmlns:a16="http://schemas.microsoft.com/office/drawing/2014/main" id="{1C4E7468-EF48-DA26-848F-F163E1E47747}"/>
            </a:ext>
          </a:extLst>
        </xdr:cNvPr>
        <xdr:cNvSpPr txBox="1">
          <a:spLocks noChangeArrowheads="1"/>
        </xdr:cNvSpPr>
      </xdr:nvSpPr>
      <xdr:spPr bwMode="auto">
        <a:xfrm>
          <a:off x="67056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28</xdr:row>
      <xdr:rowOff>141817</xdr:rowOff>
    </xdr:from>
    <xdr:to>
      <xdr:col>10</xdr:col>
      <xdr:colOff>361950</xdr:colOff>
      <xdr:row>31</xdr:row>
      <xdr:rowOff>198967</xdr:rowOff>
    </xdr:to>
    <xdr:sp macro="" textlink="">
      <xdr:nvSpPr>
        <xdr:cNvPr id="370758" name="Text Box 70" hidden="1">
          <a:extLst>
            <a:ext uri="{FF2B5EF4-FFF2-40B4-BE49-F238E27FC236}">
              <a16:creationId xmlns:a16="http://schemas.microsoft.com/office/drawing/2014/main" id="{A553F19C-AFD1-108B-CE69-EF4FB489E9F1}"/>
            </a:ext>
          </a:extLst>
        </xdr:cNvPr>
        <xdr:cNvSpPr txBox="1">
          <a:spLocks noChangeArrowheads="1"/>
        </xdr:cNvSpPr>
      </xdr:nvSpPr>
      <xdr:spPr bwMode="auto">
        <a:xfrm>
          <a:off x="7226300" y="829310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9" name="Text Box 17" hidden="1">
          <a:extLst>
            <a:ext uri="{FF2B5EF4-FFF2-40B4-BE49-F238E27FC236}">
              <a16:creationId xmlns:a16="http://schemas.microsoft.com/office/drawing/2014/main" id="{4FCE6BF4-5183-4889-D13E-2DCBF1C5229E}"/>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8" name="Text Box 16" hidden="1">
          <a:extLst>
            <a:ext uri="{FF2B5EF4-FFF2-40B4-BE49-F238E27FC236}">
              <a16:creationId xmlns:a16="http://schemas.microsoft.com/office/drawing/2014/main" id="{728E7E35-945C-F906-62C9-F58FDFFC023D}"/>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27</xdr:row>
      <xdr:rowOff>114300</xdr:rowOff>
    </xdr:from>
    <xdr:to>
      <xdr:col>4</xdr:col>
      <xdr:colOff>266700</xdr:colOff>
      <xdr:row>32</xdr:row>
      <xdr:rowOff>0</xdr:rowOff>
    </xdr:to>
    <xdr:sp macro="" textlink="">
      <xdr:nvSpPr>
        <xdr:cNvPr id="371730" name="Text Box 18" hidden="1">
          <a:extLst>
            <a:ext uri="{FF2B5EF4-FFF2-40B4-BE49-F238E27FC236}">
              <a16:creationId xmlns:a16="http://schemas.microsoft.com/office/drawing/2014/main" id="{BE19CDA2-A647-8661-9A3A-06CF0EAA1B00}"/>
            </a:ext>
          </a:extLst>
        </xdr:cNvPr>
        <xdr:cNvSpPr txBox="1">
          <a:spLocks noChangeArrowheads="1"/>
        </xdr:cNvSpPr>
      </xdr:nvSpPr>
      <xdr:spPr bwMode="auto">
        <a:xfrm>
          <a:off x="3848100" y="5803900"/>
          <a:ext cx="13081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K34" dT="2023-09-29T18:40:36.76" personId="{2C68A5A1-706F-4A3E-93A3-741BBABEC4EA}" id="{1065F4CB-52AB-4B92-B793-654578199E67}">
    <text>We adjusted these growth rates upward because CBO expected taxes to fall gradually but instead they fell quickly.</text>
  </threadedComment>
  <threadedComment ref="K38" dT="2024-02-29T21:02:38.53" personId="{4C0C5F85-AD1E-4C57-B372-003AF5B78A9F}" id="{6EA59173-A6A4-4520-BC55-CD373EBDD6E4}">
    <text>We reduced the CBO growth rate from 36% to 10% because it seemed anomolously high</text>
  </threadedComment>
  <threadedComment ref="L38" dT="2024-02-29T21:03:05.03" personId="{4C0C5F85-AD1E-4C57-B372-003AF5B78A9F}" id="{B7BB92B9-56AF-428A-90BE-8769E0F9A367}">
    <text>We increased the CBO growth rate to account for our large adjustment in the previous year</text>
  </threadedComment>
  <threadedComment ref="D64" dT="2023-02-15T20:39:04.10" personId="{609654FB-393E-4954-B3A3-EDB231775774}" id="{54F6D9F3-8868-417E-999A-B95E2C1FC589}">
    <text>May 2023 CBO Budget Projections Table 1 Row 12</text>
  </threadedComment>
  <threadedComment ref="D64" dT="2024-02-22T14:31:10.89" personId="{09FAC3F1-DFDB-4CF8-9903-358701529E2B}" id="{5AD6BF73-9438-4F75-A02E-C3EAB6B7E7E0}" parentId="{54F6D9F3-8868-417E-999A-B95E2C1FC589}">
    <text>Feb 2024 CBO Budget Projections Table 1-1 Row 10</text>
  </threadedComment>
  <threadedComment ref="D65" dT="2023-02-15T20:40:59.29" personId="{609654FB-393E-4954-B3A3-EDB231775774}" id="{1FB99C5A-E921-4C2B-94A6-469F8368DE8C}">
    <text>February 2023 Budget Projections Table 1 Row 13</text>
  </threadedComment>
  <threadedComment ref="D65" dT="2023-07-27T18:42:32.97" personId="{609654FB-393E-4954-B3A3-EDB231775774}" id="{6C707ADF-070D-4A54-B1A8-849B2DDA53F5}" parentId="{1FB99C5A-E921-4C2B-94A6-469F8368DE8C}">
    <text>These are now May 2023 Budget Projections Table 1 row 13</text>
  </threadedComment>
  <threadedComment ref="D65" dT="2024-02-22T14:36:16.32" personId="{09FAC3F1-DFDB-4CF8-9903-358701529E2B}" id="{9F895A21-C5E6-4F14-982E-DE530E6FCE79}" parentId="{1FB99C5A-E921-4C2B-94A6-469F8368DE8C}">
    <text>February 2024 CBO Budget Projections Table 1-1 Row 11</text>
  </threadedComment>
  <threadedComment ref="D67" dT="2023-02-15T20:49:24.23" personId="{609654FB-393E-4954-B3A3-EDB231775774}" id="{CE0F5DCB-3CCE-4E3D-A6E4-2AC8A4A5F19D}">
    <text>February 2023 CBO Budget Projections Table 1-6 Row 14</text>
  </threadedComment>
  <threadedComment ref="D67" dT="2024-02-22T14:44:59.03" personId="{09FAC3F1-DFDB-4CF8-9903-358701529E2B}" id="{570B49A8-6692-4986-87A6-4A3AB8B43DB9}" parentId="{CE0F5DCB-3CCE-4E3D-A6E4-2AC8A4A5F19D}">
    <text>February 2024 CBO Budget Projections Table 1-7 Row 14</text>
  </threadedComment>
  <threadedComment ref="D68" dT="2023-02-15T20:50:01.14" personId="{609654FB-393E-4954-B3A3-EDB231775774}" id="{B0E96582-484F-445D-8FF5-3592B5A172FA}">
    <text>February 2023 CBO Budget Projections Table 1-6 Row 16</text>
  </threadedComment>
  <threadedComment ref="D68" dT="2024-02-22T14:45:22.24" personId="{09FAC3F1-DFDB-4CF8-9903-358701529E2B}" id="{4F586962-5804-4FED-852B-7ABCF3DF98B2}" parentId="{B0E96582-484F-445D-8FF5-3592B5A172FA}">
    <text>February 2024 CBO Budget Projections Table 1-7, row 16</text>
  </threadedComment>
  <threadedComment ref="D69" dT="2023-02-15T20:51:09.94" personId="{609654FB-393E-4954-B3A3-EDB231775774}" id="{E6B5A35A-07FA-4F2B-9A9E-866D21A47917}">
    <text>May 2023 CBO Budget Projections Table 1 Row 14</text>
  </threadedComment>
  <threadedComment ref="D69" dT="2024-02-22T14:47:44.47" personId="{09FAC3F1-DFDB-4CF8-9903-358701529E2B}" id="{E777AE82-BE55-4B42-9F51-8E1C71456A8B}" parentId="{E6B5A35A-07FA-4F2B-9A9E-866D21A47917}">
    <text>February 2023 CBO Budget Projections Table 1-1, row 12</text>
  </threadedComment>
  <threadedComment ref="D87" dT="2023-02-15T20:53:24.39" personId="{609654FB-393E-4954-B3A3-EDB231775774}" id="{BAC4C9C5-057D-4522-9D5B-345501733B13}">
    <text>February 2023 CBO Economic Projections Fiscal Year Table row 92</text>
  </threadedComment>
  <threadedComment ref="D87" dT="2023-07-27T18:46:48.63" personId="{609654FB-393E-4954-B3A3-EDB231775774}" id="{64D40D74-2A66-4530-BD07-3D55C243D880}" parentId="{BAC4C9C5-057D-4522-9D5B-345501733B13}">
    <text>July 2023 now</text>
  </threadedComment>
  <threadedComment ref="D87" dT="2024-02-22T15:10:21.02" personId="{09FAC3F1-DFDB-4CF8-9903-358701529E2B}" id="{9188F4B5-7FFF-4AD3-B884-A6BD992DF509}" parentId="{BAC4C9C5-057D-4522-9D5B-345501733B13}">
    <text>This is now February 2024 CBO Economic Projections Fiscal Year Sheet, row 94</text>
  </threadedComment>
  <threadedComment ref="D88" dT="2023-02-15T20:55:16.88" personId="{609654FB-393E-4954-B3A3-EDB231775774}" id="{903D683D-E956-41A0-87A0-4A0ACF2A3EC0}">
    <text>February 2023 CBO Economic Projections Fiscal Year Table row 96</text>
  </threadedComment>
  <threadedComment ref="D88" dT="2023-07-27T18:46:54.82" personId="{609654FB-393E-4954-B3A3-EDB231775774}" id="{D9697230-6007-4D86-9D27-2784C2D59C94}" parentId="{903D683D-E956-41A0-87A0-4A0ACF2A3EC0}">
    <text>July 2023 now</text>
  </threadedComment>
  <threadedComment ref="D88" dT="2024-02-22T15:12:46.20" personId="{09FAC3F1-DFDB-4CF8-9903-358701529E2B}" id="{5EB79390-D49F-4610-A389-9A566FE7B07F}" parentId="{903D683D-E956-41A0-87A0-4A0ACF2A3EC0}">
    <text>This is now February 2024 CBO Economic Projections Fiscal Year Table row, row 98</text>
  </threadedComment>
  <threadedComment ref="D89" dT="2023-02-15T20:56:03.85" personId="{609654FB-393E-4954-B3A3-EDB231775774}" id="{3EBCE0D2-6A48-4CE9-BC8C-5855F5261D1F}">
    <text>February 2023 CBO Economic Projections, Fiscal Year Table row 116</text>
  </threadedComment>
  <threadedComment ref="D89" dT="2023-07-27T18:47:32.66" personId="{609654FB-393E-4954-B3A3-EDB231775774}" id="{A6D061A0-2D6B-4586-A606-81C5A9C89977}" parentId="{3EBCE0D2-6A48-4CE9-BC8C-5855F5261D1F}">
    <text>July now</text>
  </threadedComment>
  <threadedComment ref="D89" dT="2024-02-22T15:13:36.88" personId="{09FAC3F1-DFDB-4CF8-9903-358701529E2B}" id="{5B0E85F2-3E88-4DE5-B75D-A1DFDE5E2251}" parentId="{3EBCE0D2-6A48-4CE9-BC8C-5855F5261D1F}">
    <text>February 2024 CBO Economic Projections, Fiscal Year Table, row 118</text>
  </threadedComment>
  <threadedComment ref="D90" dT="2023-02-15T20:57:01.88" personId="{609654FB-393E-4954-B3A3-EDB231775774}" id="{48184811-5BD0-438A-8E38-4FDE0C8DFA8F}">
    <text>February 2023 CBO Economic Projections Fiscal Year Table row 110</text>
  </threadedComment>
  <threadedComment ref="D90" dT="2023-07-27T18:47:56.03" personId="{609654FB-393E-4954-B3A3-EDB231775774}" id="{42694EC8-B4D2-4CD1-BAD5-30DE831C4BF2}" parentId="{48184811-5BD0-438A-8E38-4FDE0C8DFA8F}">
    <text>July now</text>
  </threadedComment>
  <threadedComment ref="D90" dT="2024-02-22T15:15:43.17" personId="{09FAC3F1-DFDB-4CF8-9903-358701529E2B}" id="{7286570C-B0B2-4C53-B491-EBC2A429EFF9}" parentId="{48184811-5BD0-438A-8E38-4FDE0C8DFA8F}">
    <text>This is now February 2024 CBO Economic Projections Fiscal Year Table, row 112</text>
  </threadedComment>
  <threadedComment ref="D111" dT="2023-02-15T21:14:11.24" personId="{609654FB-393E-4954-B3A3-EDB231775774}" id="{D2748782-D0E6-49AC-8A19-1F2FBF9255CC}">
    <text>February 2023 CBO Economic Projections Quarterly Table, row 96</text>
  </threadedComment>
  <threadedComment ref="D111" dT="2023-07-27T18:51:44.27" personId="{609654FB-393E-4954-B3A3-EDB231775774}" id="{7967E3A9-28DA-40F3-87FB-C23201CBC514}" parentId="{D2748782-D0E6-49AC-8A19-1F2FBF9255CC}">
    <text>Same table and row, July 2023</text>
  </threadedComment>
  <threadedComment ref="D111" dT="2024-02-22T15:28:26.88" personId="{09FAC3F1-DFDB-4CF8-9903-358701529E2B}" id="{3C76C544-F68F-455F-86CF-8627D74B7C59}" parentId="{D2748782-D0E6-49AC-8A19-1F2FBF9255CC}">
    <text>February 2024 CBO Economic Projections Quarterly Table, row 98</text>
  </threadedComment>
  <threadedComment ref="D112" dT="2023-02-15T21:14:52.42" personId="{609654FB-393E-4954-B3A3-EDB231775774}" id="{A46F7C4F-6912-4219-A6BF-9B291D29572E}">
    <text>February 2023 CBO Economic Projections quarterly tables, row 98</text>
  </threadedComment>
  <threadedComment ref="D112" dT="2023-07-27T18:51:58.38" personId="{609654FB-393E-4954-B3A3-EDB231775774}" id="{7A0F03B6-E33D-4474-9555-B84E69B17617}" parentId="{A46F7C4F-6912-4219-A6BF-9B291D29572E}">
    <text>Same table and row, July 2023</text>
  </threadedComment>
  <threadedComment ref="D112" dT="2024-02-22T15:30:49.62" personId="{09FAC3F1-DFDB-4CF8-9903-358701529E2B}" id="{8B50D8B1-7987-47E1-B1DC-D2F70DCC216E}" parentId="{A46F7C4F-6912-4219-A6BF-9B291D29572E}">
    <text>February 2024 CBO Economic Projections quarterly tables, row 100</text>
  </threadedComment>
  <threadedComment ref="D113" dT="2023-02-15T21:15:38.27" personId="{609654FB-393E-4954-B3A3-EDB231775774}" id="{76E953CB-BD49-43CF-8F2D-8BFB47D725D7}">
    <text>February 2023 CBO Economic Projections quarterly table, row 116</text>
  </threadedComment>
  <threadedComment ref="D113" dT="2023-07-27T18:51:50.61" personId="{609654FB-393E-4954-B3A3-EDB231775774}" id="{5483793C-0C25-47A5-BAF9-EF712CAD7D04}" parentId="{76E953CB-BD49-43CF-8F2D-8BFB47D725D7}">
    <text>Same table and row, July 2023</text>
  </threadedComment>
  <threadedComment ref="D113" dT="2024-02-22T15:37:14.65" personId="{09FAC3F1-DFDB-4CF8-9903-358701529E2B}" id="{385DCECF-44A3-4344-9011-2A6CE78C506F}" parentId="{76E953CB-BD49-43CF-8F2D-8BFB47D725D7}">
    <text>This is now February 2024 CBO Economic Projections Quarterly Table, row 118</text>
  </threadedComment>
  <threadedComment ref="D114" dT="2023-02-15T21:16:25.78" personId="{609654FB-393E-4954-B3A3-EDB231775774}" id="{8FB584A5-2B54-4AD8-94A1-F46A717E4FE5}">
    <text>February 2023 CBO Economic Projections quarterly table row 112</text>
  </threadedComment>
  <threadedComment ref="D114" dT="2023-07-27T18:52:05.52" personId="{609654FB-393E-4954-B3A3-EDB231775774}" id="{0C631DB7-7EAD-4CD2-978E-4DD9468CD3B1}" parentId="{8FB584A5-2B54-4AD8-94A1-F46A717E4FE5}">
    <text>Same table and row, July 2023</text>
  </threadedComment>
  <threadedComment ref="D114" dT="2024-02-22T15:42:56.34" personId="{09FAC3F1-DFDB-4CF8-9903-358701529E2B}" id="{19BF4626-D0E8-42B5-BD70-3452F9A463CA}" parentId="{8FB584A5-2B54-4AD8-94A1-F46A717E4FE5}">
    <text>February 2024 CBO Economic Projections quarterly table row 114 corporate profits domestic</text>
  </threadedComment>
  <threadedComment ref="U137" dT="2023-04-27T03:02:33.18" personId="{2C68A5A1-706F-4A3E-93A3-741BBABEC4EA}" id="{65B2F617-D738-4757-983D-98D9DB3870FB}">
    <text>I can't drag these over because of circular references.</text>
  </threadedComment>
  <threadedComment ref="V140" dT="2023-07-27T14:08:57.55" personId="{2C68A5A1-706F-4A3E-93A3-741BBABEC4EA}" id="{0AC09EFD-8A54-444C-A82D-77111C533292}">
    <text>Drag my predecessor forward in August 2023!! (Corporate taxes come in late, and we couldn't update in July!)</text>
  </threadedComment>
  <threadedComment ref="W140" dT="2023-10-26T13:42:51.37" personId="{609654FB-393E-4954-B3A3-EDB231775774}" id="{1B45073C-05DE-4E50-B57C-9DA43CA3E5DB}">
    <text>Drag forward in November by same logic as in previous cell.</text>
  </threadedComment>
  <threadedComment ref="X140" dT="2024-01-24T19:09:22.97" personId="{09FAC3F1-DFDB-4CF8-9903-358701529E2B}" id="{1EFE3D94-A914-4335-ADA0-94B1C8F72E64}">
    <text>Drag forward in February because we get Q4 Data 1 month late.</text>
  </threadedComment>
  <threadedComment ref="D161" dT="2022-07-27T16:01:10.90" personId="{104078EE-2393-4C21-9029-18A325FBDB70}" id="{3DA40B3D-4A5D-452E-A72D-B2030842DDB4}">
    <text>May 2022 CBO Ten Year Economic Projections, Quarterly Table, Row 96</text>
  </threadedComment>
  <threadedComment ref="D163" dT="2022-07-27T16:01:37.37" personId="{104078EE-2393-4C21-9029-18A325FBDB70}" id="{D99B9B54-6076-41EB-BC07-437AE218B08B}">
    <text>May 2022 CBO Ten Year Economic Projections, Quarterly Table, Row 98</text>
  </threadedComment>
  <threadedComment ref="D165" dT="2022-07-27T16:02:04.85" personId="{104078EE-2393-4C21-9029-18A325FBDB70}" id="{623F5CCB-51DE-44FD-917A-D45F49A14B56}">
    <text>May 2022 CBO Ten Year Economic Projections, Quarterly Table, Row 116</text>
  </threadedComment>
  <threadedComment ref="D167" dT="2022-03-31T15:05:09.08" personId="{104078EE-2393-4C21-9029-18A325FBDB70}" id="{76D39B51-9B45-4C9D-BC1F-F3C52C7844F2}">
    <text>May 2022 CBO Ten Year Economic Projections, Quarterly Table, Row 112</text>
  </threadedComment>
  <threadedComment ref="D173" dT="2022-07-27T16:01:10.90" personId="{104078EE-2393-4C21-9029-18A325FBDB70}" id="{261212D0-3270-4BCA-9A94-F5349DB2897B}">
    <text>May 2022 CBO Ten Year Economic Projections, Quarterly Table, Row 96</text>
  </threadedComment>
  <threadedComment ref="D175" dT="2022-07-27T16:01:37.37" personId="{104078EE-2393-4C21-9029-18A325FBDB70}" id="{093CFE5E-1370-4B7D-A6E3-831D81F9257A}">
    <text>May 2022 CBO Ten Year Economic Projections, Quarterly Table, Row 98</text>
  </threadedComment>
  <threadedComment ref="D177" dT="2022-07-27T16:02:04.85" personId="{104078EE-2393-4C21-9029-18A325FBDB70}" id="{8471787A-6E7E-4D0B-B7B0-44BB3DD67EEC}">
    <text>May 2022 CBO Ten Year Economic Projections, Quarterly Table, Row 116</text>
  </threadedComment>
  <threadedComment ref="D179"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61"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3" dT="2023-07-27T18:54:18.72" personId="{609654FB-393E-4954-B3A3-EDB231775774}" id="{0DF18CD1-DDA4-4936-9B9E-36F885A8A9DF}">
    <text>July 2023 10-year economic projections Quarterly Table line 116</text>
  </threadedComment>
  <threadedComment ref="B63" dT="2024-02-22T16:14:54.16" personId="{09FAC3F1-DFDB-4CF8-9903-358701529E2B}" id="{5E636256-C425-4746-8026-732FFB49DCA6}" parentId="{0DF18CD1-DDA4-4936-9B9E-36F885A8A9DF}">
    <text>February 2024 CBO Economic Projections, Quarterly Table, Line 118</text>
  </threadedComment>
  <threadedComment ref="B64" dT="2023-07-27T18:58:29.78" personId="{609654FB-393E-4954-B3A3-EDB231775774}" id="{9DDFDF05-CB8A-4154-92B5-FB4AFBAE30F8}">
    <text>July 2023 10-year economic projections quarterly table line 127</text>
  </threadedComment>
  <threadedComment ref="B64" dT="2024-02-22T16:17:18.71" personId="{09FAC3F1-DFDB-4CF8-9903-358701529E2B}" id="{415918D2-8F3E-4EB4-8C8E-353F5D499194}" parentId="{9DDFDF05-CB8A-4154-92B5-FB4AFBAE30F8}">
    <text>July 2023 CBO Economic Projections, Quarterly Table Line 129</text>
  </threadedComment>
  <threadedComment ref="B65" dT="2023-07-27T18:58:47.03" personId="{609654FB-393E-4954-B3A3-EDB231775774}" id="{C72DB8C1-80AB-49EE-8306-B3882C563DE7}">
    <text>July 2023 economic projections quarterly table line 129</text>
  </threadedComment>
  <threadedComment ref="B65" dT="2024-02-22T16:18:11.19" personId="{09FAC3F1-DFDB-4CF8-9903-358701529E2B}" id="{D3B155C7-B049-48E7-A2B4-C43A9DB0EA80}" parentId="{C72DB8C1-80AB-49EE-8306-B3882C563DE7}">
    <text>February 2024 Economic Projections, Quarterly Table line 131</text>
  </threadedComment>
  <threadedComment ref="B66" dT="2023-07-27T18:59:18.12" personId="{609654FB-393E-4954-B3A3-EDB231775774}" id="{65400755-1E7E-45CD-B1D4-DAC1E9F13C96}">
    <text>July 2023 economic projections quarterly table line 139</text>
  </threadedComment>
  <threadedComment ref="B66" dT="2024-02-22T16:22:22.44" personId="{09FAC3F1-DFDB-4CF8-9903-358701529E2B}" id="{B6540356-436A-4581-AA68-7BEB752C9369}" parentId="{65400755-1E7E-45CD-B1D4-DAC1E9F13C96}">
    <text>February 2024 CBO Economic Projections, Quarterly Table, row 141</text>
  </threadedComment>
  <threadedComment ref="B67" dT="2023-07-27T18:59:50.42" personId="{609654FB-393E-4954-B3A3-EDB231775774}" id="{2342851E-1027-489D-A9C9-2E8A800F814B}">
    <text>July 2023 economic projections quarterly table line 150</text>
  </threadedComment>
  <threadedComment ref="B67" dT="2024-02-22T16:24:23.29" personId="{09FAC3F1-DFDB-4CF8-9903-358701529E2B}" id="{1C910F0A-56B8-478F-AC70-88B4D842C6E9}" parentId="{2342851E-1027-489D-A9C9-2E8A800F814B}">
    <text>February 2024 CBO Economic Projections, Quarterly Table, Line 152</text>
  </threadedComment>
  <threadedComment ref="B68" dT="2023-07-27T19:00:00.27" personId="{609654FB-393E-4954-B3A3-EDB231775774}" id="{7C559531-A861-49AD-8365-07F57C6BE5A0}">
    <text>July 2023 economic projections quarterly table line 152</text>
  </threadedComment>
  <threadedComment ref="B68"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U26" dT="2023-04-28T16:00:59.73" personId="{2C68A5A1-706F-4A3E-93A3-741BBABEC4EA}" id="{A4AE190A-66EF-4BE0-914B-1F0EC2F52D33}">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O115" dT="2023-02-16T18:16:09.17" personId="{609654FB-393E-4954-B3A3-EDB231775774}" id="{841D3E49-8453-4CAA-B45D-204C2642C983}">
    <text>This is a policy update since May 2022 CBO update, but the Grants number was not updated by CBO. So do we delete this line or is it still included?</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G20" dT="2024-03-29T18:17:33.54" personId="{2C68A5A1-706F-4A3E-93A3-741BBABEC4EA}" id="{8FC373EC-A8CE-4303-A69B-58FE96E30B67}" parentId="{8A2A0363-6E26-43DA-8F9C-0DA70A3F65A0}">
    <text>We added 2 pp to the growth rate because of CBO's very low &amp; declining forecast</text>
  </threadedComment>
  <threadedComment ref="H20" dT="2023-09-29T20:02:43.20" personId="{2C68A5A1-706F-4A3E-93A3-741BBABEC4EA}" id="{48FEC13E-DD87-4779-A443-42BF4F49FF37}">
    <text>Louise changed to 0.02</text>
  </threadedComment>
  <threadedComment ref="W27"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8"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5546875" defaultRowHeight="15" x14ac:dyDescent="0.25"/>
  <cols>
    <col min="2" max="2" width="34.140625" customWidth="1"/>
    <col min="17" max="17" width="38.42578125" customWidth="1"/>
  </cols>
  <sheetData>
    <row r="10" spans="2:17" x14ac:dyDescent="0.25">
      <c r="B10" s="1309" t="s">
        <v>0</v>
      </c>
      <c r="C10" s="1310"/>
      <c r="D10" s="1310"/>
      <c r="E10" s="1310"/>
      <c r="F10" s="1310"/>
      <c r="G10" s="1310"/>
      <c r="H10" s="1310"/>
      <c r="I10" s="1310"/>
      <c r="J10" s="1310"/>
      <c r="K10" s="1310"/>
      <c r="L10" s="1310"/>
      <c r="M10" s="1310"/>
      <c r="N10" s="1310"/>
      <c r="O10" s="1310"/>
      <c r="P10" s="1310"/>
      <c r="Q10" s="1311"/>
    </row>
    <row r="11" spans="2:17" x14ac:dyDescent="0.25">
      <c r="B11" s="1312"/>
      <c r="C11" s="1313"/>
      <c r="D11" s="1313"/>
      <c r="E11" s="1313"/>
      <c r="F11" s="1313"/>
      <c r="G11" s="1313"/>
      <c r="H11" s="1313"/>
      <c r="I11" s="1313"/>
      <c r="J11" s="1313"/>
      <c r="K11" s="1313"/>
      <c r="L11" s="1313"/>
      <c r="M11" s="1313"/>
      <c r="N11" s="1313"/>
      <c r="O11" s="1313"/>
      <c r="P11" s="1313"/>
      <c r="Q11" s="1314"/>
    </row>
    <row r="12" spans="2:17" x14ac:dyDescent="0.25">
      <c r="B12" s="10" t="s">
        <v>1</v>
      </c>
      <c r="C12" s="7"/>
      <c r="D12" s="7"/>
      <c r="E12" s="7"/>
      <c r="F12" s="7"/>
      <c r="G12" s="7"/>
      <c r="H12" s="7"/>
      <c r="I12" s="7"/>
      <c r="J12" s="7"/>
      <c r="K12" s="7"/>
      <c r="L12" s="7"/>
      <c r="M12" s="7"/>
      <c r="N12" s="7"/>
      <c r="O12" s="7"/>
      <c r="P12" s="7"/>
      <c r="Q12" s="5"/>
    </row>
    <row r="13" spans="2:17" x14ac:dyDescent="0.25">
      <c r="B13" s="9" t="s">
        <v>2</v>
      </c>
      <c r="C13" s="1315" t="s">
        <v>3</v>
      </c>
      <c r="D13" s="1315"/>
      <c r="E13" s="1315"/>
      <c r="F13" s="1315"/>
      <c r="G13" s="1315"/>
      <c r="H13" s="1315"/>
      <c r="I13" s="1315"/>
      <c r="J13" s="1315"/>
      <c r="K13" s="1315"/>
      <c r="L13" s="1315"/>
      <c r="M13" s="1315"/>
      <c r="N13" s="1315"/>
      <c r="O13" s="1315"/>
      <c r="P13" s="1315"/>
      <c r="Q13" s="1316"/>
    </row>
    <row r="14" spans="2:17" x14ac:dyDescent="0.25">
      <c r="B14" s="9" t="s">
        <v>4</v>
      </c>
      <c r="C14" s="6" t="s">
        <v>5</v>
      </c>
      <c r="D14" s="6"/>
      <c r="E14" s="6"/>
      <c r="F14" s="6"/>
      <c r="G14" s="6"/>
      <c r="H14" s="6"/>
      <c r="I14" s="6"/>
      <c r="J14" s="6"/>
      <c r="K14" s="6"/>
      <c r="L14" s="6"/>
      <c r="M14" s="6"/>
      <c r="N14" s="6"/>
      <c r="O14" s="6"/>
      <c r="P14" s="6"/>
      <c r="Q14" s="13"/>
    </row>
    <row r="15" spans="2:17" x14ac:dyDescent="0.25">
      <c r="B15" s="9" t="s">
        <v>6</v>
      </c>
      <c r="C15" s="6" t="s">
        <v>7</v>
      </c>
      <c r="D15" s="6"/>
      <c r="E15" s="6"/>
      <c r="F15" s="6"/>
      <c r="G15" s="6"/>
      <c r="H15" s="6"/>
      <c r="I15" s="6"/>
      <c r="J15" s="6"/>
      <c r="K15" s="6"/>
      <c r="L15" s="6"/>
      <c r="M15" s="6"/>
      <c r="N15" s="6"/>
      <c r="O15" s="6"/>
      <c r="P15" s="6"/>
      <c r="Q15" s="13"/>
    </row>
    <row r="16" spans="2:17" x14ac:dyDescent="0.25">
      <c r="B16" s="9" t="s">
        <v>8</v>
      </c>
      <c r="C16" s="6" t="s">
        <v>834</v>
      </c>
      <c r="D16" s="6"/>
      <c r="E16" s="6"/>
      <c r="F16" s="6"/>
      <c r="G16" s="6"/>
      <c r="H16" s="6"/>
      <c r="I16" s="6"/>
      <c r="J16" s="6"/>
      <c r="K16" s="6"/>
      <c r="L16" s="6"/>
      <c r="M16" s="6"/>
      <c r="N16" s="6"/>
      <c r="O16" s="6"/>
      <c r="P16" s="6"/>
      <c r="Q16" s="13"/>
    </row>
    <row r="17" spans="2:17" x14ac:dyDescent="0.25">
      <c r="B17" s="9" t="s">
        <v>9</v>
      </c>
      <c r="C17" s="6" t="s">
        <v>10</v>
      </c>
      <c r="D17" s="6"/>
      <c r="E17" s="6"/>
      <c r="F17" s="6"/>
      <c r="G17" s="6"/>
      <c r="H17" s="6"/>
      <c r="I17" s="6"/>
      <c r="J17" s="6"/>
      <c r="K17" s="6"/>
      <c r="L17" s="6"/>
      <c r="M17" s="6"/>
      <c r="N17" s="6"/>
      <c r="O17" s="6"/>
      <c r="P17" s="6"/>
      <c r="Q17" s="13"/>
    </row>
    <row r="18" spans="2:17" x14ac:dyDescent="0.25">
      <c r="B18" s="9" t="s">
        <v>835</v>
      </c>
      <c r="C18" s="6" t="s">
        <v>11</v>
      </c>
      <c r="D18" s="6"/>
      <c r="E18" s="6"/>
      <c r="F18" s="6"/>
      <c r="G18" s="6"/>
      <c r="H18" s="6"/>
      <c r="I18" s="6"/>
      <c r="J18" s="6"/>
      <c r="K18" s="6"/>
      <c r="L18" s="6"/>
      <c r="M18" s="6"/>
      <c r="N18" s="6"/>
      <c r="O18" s="6"/>
      <c r="P18" s="6"/>
      <c r="Q18" s="13"/>
    </row>
    <row r="19" spans="2:17" x14ac:dyDescent="0.25">
      <c r="B19" s="9" t="s">
        <v>12</v>
      </c>
      <c r="C19" s="6" t="s">
        <v>836</v>
      </c>
      <c r="D19" s="6"/>
      <c r="E19" s="6"/>
      <c r="F19" s="6"/>
      <c r="G19" s="6"/>
      <c r="H19" s="6"/>
      <c r="I19" s="6"/>
      <c r="J19" s="6"/>
      <c r="K19" s="6"/>
      <c r="L19" s="6"/>
      <c r="M19" s="6"/>
      <c r="N19" s="6"/>
      <c r="O19" s="6"/>
      <c r="P19" s="6"/>
      <c r="Q19" s="13"/>
    </row>
    <row r="20" spans="2:17" ht="30.75" customHeight="1" x14ac:dyDescent="0.25">
      <c r="B20" s="9" t="s">
        <v>13</v>
      </c>
      <c r="C20" s="1307" t="s">
        <v>14</v>
      </c>
      <c r="D20" s="1307"/>
      <c r="E20" s="1307"/>
      <c r="F20" s="1307"/>
      <c r="G20" s="1307"/>
      <c r="H20" s="1307"/>
      <c r="I20" s="1307"/>
      <c r="J20" s="1307"/>
      <c r="K20" s="1307"/>
      <c r="L20" s="1307"/>
      <c r="M20" s="1307"/>
      <c r="N20" s="1307"/>
      <c r="O20" s="1307"/>
      <c r="P20" s="1307"/>
      <c r="Q20" s="1308"/>
    </row>
    <row r="21" spans="2:17" x14ac:dyDescent="0.25">
      <c r="B21" s="9" t="s">
        <v>15</v>
      </c>
      <c r="C21" s="6" t="s">
        <v>16</v>
      </c>
      <c r="D21" s="6"/>
      <c r="E21" s="6"/>
      <c r="F21" s="6"/>
      <c r="G21" s="6"/>
      <c r="H21" s="6"/>
      <c r="I21" s="6"/>
      <c r="J21" s="6"/>
      <c r="K21" s="6"/>
      <c r="L21" s="6"/>
      <c r="M21" s="6"/>
      <c r="N21" s="6"/>
      <c r="O21" s="6"/>
      <c r="P21" s="6"/>
      <c r="Q21" s="13"/>
    </row>
    <row r="22" spans="2:17" ht="32.25" customHeight="1" x14ac:dyDescent="0.25">
      <c r="B22" s="1" t="s">
        <v>838</v>
      </c>
      <c r="C22" s="1307" t="s">
        <v>837</v>
      </c>
      <c r="D22" s="1307"/>
      <c r="E22" s="1307"/>
      <c r="F22" s="1307"/>
      <c r="G22" s="1307"/>
      <c r="H22" s="1307"/>
      <c r="I22" s="1307"/>
      <c r="J22" s="1307"/>
      <c r="K22" s="1307"/>
      <c r="L22" s="1307"/>
      <c r="M22" s="1307"/>
      <c r="N22" s="1307"/>
      <c r="O22" s="1307"/>
      <c r="P22" s="1307"/>
      <c r="Q22" s="1308"/>
    </row>
    <row r="23" spans="2:17" ht="31.35" customHeight="1" x14ac:dyDescent="0.25">
      <c r="B23" s="9" t="s">
        <v>17</v>
      </c>
      <c r="C23" s="1307" t="s">
        <v>839</v>
      </c>
      <c r="D23" s="1307"/>
      <c r="E23" s="1307"/>
      <c r="F23" s="1307"/>
      <c r="G23" s="1307"/>
      <c r="H23" s="1307"/>
      <c r="I23" s="1307"/>
      <c r="J23" s="1307"/>
      <c r="K23" s="1307"/>
      <c r="L23" s="1307"/>
      <c r="M23" s="1307"/>
      <c r="N23" s="1307"/>
      <c r="O23" s="1307"/>
      <c r="P23" s="1307"/>
      <c r="Q23" s="1308"/>
    </row>
    <row r="24" spans="2:17" x14ac:dyDescent="0.25">
      <c r="B24" s="9" t="s">
        <v>18</v>
      </c>
      <c r="C24" s="6" t="s">
        <v>19</v>
      </c>
      <c r="D24" s="6"/>
      <c r="E24" s="6"/>
      <c r="F24" s="6"/>
      <c r="G24" s="6"/>
      <c r="H24" s="6"/>
      <c r="I24" s="6"/>
      <c r="J24" s="6"/>
      <c r="K24" s="6"/>
      <c r="L24" s="6"/>
      <c r="M24" s="6"/>
      <c r="N24" s="6"/>
      <c r="O24" s="6"/>
      <c r="P24" s="6"/>
      <c r="Q24" s="13"/>
    </row>
    <row r="25" spans="2:17" x14ac:dyDescent="0.25">
      <c r="B25" s="9" t="s">
        <v>20</v>
      </c>
      <c r="C25" s="6" t="s">
        <v>21</v>
      </c>
      <c r="D25" s="6"/>
      <c r="E25" s="6"/>
      <c r="F25" s="6"/>
      <c r="G25" s="6"/>
      <c r="H25" s="6"/>
      <c r="I25" s="6"/>
      <c r="J25" s="6"/>
      <c r="K25" s="6"/>
      <c r="L25" s="6"/>
      <c r="M25" s="6"/>
      <c r="N25" s="6"/>
      <c r="O25" s="6"/>
      <c r="P25" s="6"/>
      <c r="Q25" s="13"/>
    </row>
    <row r="26" spans="2:17" x14ac:dyDescent="0.25">
      <c r="B26" s="9" t="s">
        <v>22</v>
      </c>
      <c r="C26" s="6" t="s">
        <v>23</v>
      </c>
      <c r="D26" s="6"/>
      <c r="E26" s="6"/>
      <c r="F26" s="6"/>
      <c r="G26" s="6"/>
      <c r="H26" s="6"/>
      <c r="I26" s="6"/>
      <c r="J26" s="6"/>
      <c r="K26" s="6"/>
      <c r="L26" s="6"/>
      <c r="M26" s="6"/>
      <c r="N26" s="6"/>
      <c r="O26" s="6"/>
      <c r="P26" s="6"/>
      <c r="Q26" s="13"/>
    </row>
    <row r="27" spans="2:17" x14ac:dyDescent="0.25">
      <c r="B27" s="9" t="s">
        <v>24</v>
      </c>
      <c r="C27" s="6" t="s">
        <v>840</v>
      </c>
      <c r="D27" s="6"/>
      <c r="E27" s="6"/>
      <c r="F27" s="6"/>
      <c r="G27" s="6"/>
      <c r="H27" s="6"/>
      <c r="I27" s="6"/>
      <c r="J27" s="6"/>
      <c r="K27" s="6"/>
      <c r="L27" s="6"/>
      <c r="M27" s="6"/>
      <c r="N27" s="6"/>
      <c r="O27" s="6"/>
      <c r="P27" s="6"/>
      <c r="Q27" s="13"/>
    </row>
    <row r="28" spans="2:17" x14ac:dyDescent="0.25">
      <c r="B28" s="9" t="s">
        <v>25</v>
      </c>
      <c r="C28" s="6" t="s">
        <v>841</v>
      </c>
      <c r="D28" s="6"/>
      <c r="E28" s="6"/>
      <c r="F28" s="6"/>
      <c r="G28" s="6"/>
      <c r="H28" s="6"/>
      <c r="I28" s="6"/>
      <c r="J28" s="6"/>
      <c r="K28" s="6"/>
      <c r="L28" s="6"/>
      <c r="M28" s="6"/>
      <c r="N28" s="6"/>
      <c r="O28" s="6"/>
      <c r="P28" s="6"/>
      <c r="Q28" s="13"/>
    </row>
    <row r="29" spans="2:17" x14ac:dyDescent="0.25">
      <c r="B29" s="9" t="s">
        <v>26</v>
      </c>
      <c r="C29" s="6" t="s">
        <v>27</v>
      </c>
      <c r="D29" s="6"/>
      <c r="E29" s="6"/>
      <c r="F29" s="6"/>
      <c r="G29" s="6"/>
      <c r="H29" s="6"/>
      <c r="I29" s="6"/>
      <c r="J29" s="6"/>
      <c r="K29" s="6"/>
      <c r="L29" s="6"/>
      <c r="M29" s="6"/>
      <c r="N29" s="6"/>
      <c r="O29" s="6"/>
      <c r="P29" s="6"/>
      <c r="Q29" s="13"/>
    </row>
    <row r="30" spans="2:17" x14ac:dyDescent="0.25">
      <c r="B30" s="9"/>
      <c r="C30" s="6"/>
      <c r="D30" s="6"/>
      <c r="E30" s="6"/>
      <c r="F30" s="6"/>
      <c r="G30" s="6"/>
      <c r="H30" s="6"/>
      <c r="I30" s="6"/>
      <c r="J30" s="6"/>
      <c r="K30" s="6"/>
      <c r="L30" s="6"/>
      <c r="M30" s="6"/>
      <c r="N30" s="6"/>
      <c r="O30" s="6"/>
      <c r="P30" s="6"/>
      <c r="Q30" s="13"/>
    </row>
    <row r="31" spans="2:17" x14ac:dyDescent="0.25">
      <c r="B31" s="11" t="s">
        <v>28</v>
      </c>
      <c r="C31" s="6"/>
      <c r="D31" s="6"/>
      <c r="E31" s="6"/>
      <c r="F31" s="6"/>
      <c r="G31" s="6"/>
      <c r="H31" s="6"/>
      <c r="I31" s="6"/>
      <c r="J31" s="6"/>
      <c r="K31" s="6"/>
      <c r="L31" s="6"/>
      <c r="M31" s="6"/>
      <c r="N31" s="6"/>
      <c r="O31" s="6"/>
      <c r="P31" s="6"/>
      <c r="Q31" s="13"/>
    </row>
    <row r="32" spans="2:17" x14ac:dyDescent="0.25">
      <c r="B32" s="9" t="s">
        <v>29</v>
      </c>
      <c r="C32" s="6"/>
      <c r="D32" s="6"/>
      <c r="E32" s="6"/>
      <c r="F32" s="6"/>
      <c r="G32" s="6"/>
      <c r="H32" s="6"/>
      <c r="I32" s="6"/>
      <c r="J32" s="6"/>
      <c r="K32" s="6"/>
      <c r="L32" s="6"/>
      <c r="M32" s="6"/>
      <c r="N32" s="6"/>
      <c r="O32" s="6"/>
      <c r="P32" s="6"/>
      <c r="Q32" s="13"/>
    </row>
    <row r="33" spans="2:17" ht="30.75" customHeight="1" x14ac:dyDescent="0.25">
      <c r="B33" s="1306" t="s">
        <v>842</v>
      </c>
      <c r="C33" s="1307"/>
      <c r="D33" s="1307"/>
      <c r="E33" s="1307"/>
      <c r="F33" s="1307"/>
      <c r="G33" s="1307"/>
      <c r="H33" s="1307"/>
      <c r="I33" s="1307"/>
      <c r="J33" s="1307"/>
      <c r="K33" s="1307"/>
      <c r="L33" s="1307"/>
      <c r="M33" s="1307"/>
      <c r="N33" s="1307"/>
      <c r="O33" s="1307"/>
      <c r="P33" s="1307"/>
      <c r="Q33" s="1308"/>
    </row>
    <row r="34" spans="2:17" x14ac:dyDescent="0.25">
      <c r="B34" s="3" t="s">
        <v>30</v>
      </c>
      <c r="C34" s="6"/>
      <c r="D34" s="6"/>
      <c r="E34" s="6"/>
      <c r="F34" s="6"/>
      <c r="G34" s="6"/>
      <c r="H34" s="6"/>
      <c r="I34" s="6"/>
      <c r="J34" s="6"/>
      <c r="K34" s="6"/>
      <c r="L34" s="6"/>
      <c r="M34" s="6"/>
      <c r="N34" s="6"/>
      <c r="O34" s="6"/>
      <c r="P34" s="6"/>
      <c r="Q34" s="13"/>
    </row>
    <row r="35" spans="2:17" x14ac:dyDescent="0.25">
      <c r="B35" s="9" t="s">
        <v>31</v>
      </c>
      <c r="C35" s="6"/>
      <c r="D35" s="6"/>
      <c r="E35" s="6"/>
      <c r="F35" s="6"/>
      <c r="G35" s="6"/>
      <c r="H35" s="6"/>
      <c r="I35" s="6"/>
      <c r="J35" s="6"/>
      <c r="K35" s="6"/>
      <c r="L35" s="6"/>
      <c r="M35" s="6"/>
      <c r="N35" s="6"/>
      <c r="O35" s="6"/>
      <c r="P35" s="6"/>
      <c r="Q35" s="13"/>
    </row>
    <row r="36" spans="2:17" x14ac:dyDescent="0.25">
      <c r="B36" s="8" t="s">
        <v>32</v>
      </c>
      <c r="C36" s="12"/>
      <c r="D36" s="12"/>
      <c r="E36" s="12"/>
      <c r="F36" s="12"/>
      <c r="G36" s="12"/>
      <c r="H36" s="12"/>
      <c r="I36" s="12"/>
      <c r="J36" s="12"/>
      <c r="K36" s="12"/>
      <c r="L36" s="12"/>
      <c r="M36" s="12"/>
      <c r="N36" s="12"/>
      <c r="O36" s="12"/>
      <c r="P36" s="12"/>
      <c r="Q36" s="2"/>
    </row>
    <row r="39" spans="2:17" x14ac:dyDescent="0.25">
      <c r="B39" s="4"/>
      <c r="C39" s="4"/>
      <c r="D39" s="4"/>
      <c r="E39" s="4"/>
      <c r="F39" s="4"/>
      <c r="G39" s="4"/>
      <c r="H39" s="4"/>
      <c r="I39" s="4"/>
      <c r="J39" s="4"/>
      <c r="K39" s="4"/>
      <c r="L39" s="4"/>
      <c r="M39" s="4"/>
      <c r="N39" s="4"/>
      <c r="O39" s="4"/>
      <c r="P39" s="4"/>
      <c r="Q39" s="4"/>
    </row>
    <row r="40" spans="2:17" x14ac:dyDescent="0.25">
      <c r="B40" s="4"/>
      <c r="C40" s="4"/>
      <c r="D40" s="4"/>
      <c r="E40" s="4"/>
      <c r="F40" s="4"/>
      <c r="G40" s="4"/>
      <c r="H40" s="4"/>
      <c r="I40" s="4"/>
      <c r="J40" s="4"/>
      <c r="K40" s="4"/>
      <c r="L40" s="4"/>
      <c r="M40" s="4"/>
      <c r="N40" s="4"/>
      <c r="O40" s="4"/>
      <c r="P40" s="4"/>
      <c r="Q40" s="4"/>
    </row>
    <row r="41" spans="2:17" x14ac:dyDescent="0.25">
      <c r="B41" s="4"/>
      <c r="C41" s="4"/>
      <c r="D41" s="4"/>
      <c r="E41" s="4"/>
      <c r="F41" s="4"/>
      <c r="G41" s="4"/>
      <c r="H41" s="4"/>
      <c r="I41" s="4"/>
      <c r="J41" s="4"/>
      <c r="K41" s="4"/>
      <c r="L41" s="4"/>
      <c r="M41" s="4"/>
      <c r="N41" s="4"/>
      <c r="O41" s="4"/>
      <c r="P41" s="4"/>
      <c r="Q41" s="4"/>
    </row>
    <row r="42" spans="2:17" x14ac:dyDescent="0.25">
      <c r="B42" s="4"/>
      <c r="C42" s="4"/>
      <c r="D42" s="4"/>
      <c r="E42" s="4"/>
      <c r="F42" s="4"/>
      <c r="G42" s="4"/>
      <c r="H42" s="4"/>
      <c r="I42" s="4"/>
      <c r="J42" s="4"/>
      <c r="K42" s="4"/>
      <c r="L42" s="4"/>
      <c r="M42" s="4"/>
      <c r="N42" s="4"/>
      <c r="O42" s="4"/>
      <c r="P42" s="4"/>
      <c r="Q42" s="4"/>
    </row>
    <row r="43" spans="2:17" x14ac:dyDescent="0.25">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Q17" sqref="Q17"/>
    </sheetView>
  </sheetViews>
  <sheetFormatPr defaultColWidth="10.85546875" defaultRowHeight="15" x14ac:dyDescent="0.25"/>
  <cols>
    <col min="1" max="1" width="33" customWidth="1"/>
    <col min="2" max="2" width="27.140625" customWidth="1"/>
  </cols>
  <sheetData>
    <row r="1" spans="1:22" x14ac:dyDescent="0.25">
      <c r="A1" s="76" t="s">
        <v>178</v>
      </c>
      <c r="B1" s="76" t="s">
        <v>179</v>
      </c>
      <c r="C1" s="182" t="s">
        <v>247</v>
      </c>
      <c r="D1" s="182" t="s">
        <v>248</v>
      </c>
      <c r="E1" s="182" t="s">
        <v>249</v>
      </c>
      <c r="F1" s="182" t="s">
        <v>250</v>
      </c>
      <c r="G1" s="76" t="s">
        <v>251</v>
      </c>
      <c r="H1" s="76" t="s">
        <v>180</v>
      </c>
      <c r="I1" s="76" t="s">
        <v>181</v>
      </c>
      <c r="J1" s="76" t="s">
        <v>182</v>
      </c>
      <c r="K1" s="76" t="s">
        <v>183</v>
      </c>
      <c r="L1" s="143" t="s">
        <v>184</v>
      </c>
      <c r="M1" s="143" t="s">
        <v>185</v>
      </c>
      <c r="N1" s="143" t="s">
        <v>186</v>
      </c>
      <c r="O1" s="143" t="s">
        <v>187</v>
      </c>
      <c r="P1" s="143" t="s">
        <v>188</v>
      </c>
      <c r="Q1" s="143" t="s">
        <v>189</v>
      </c>
      <c r="R1" s="143"/>
      <c r="S1" s="143"/>
      <c r="T1" s="143"/>
      <c r="U1" s="143"/>
      <c r="V1" s="143"/>
    </row>
    <row r="2" spans="1:22" ht="29.1" customHeight="1" x14ac:dyDescent="0.2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79">
        <f>Grants!W96</f>
        <v>415.61894400000006</v>
      </c>
      <c r="Q2" s="179">
        <f>Grants!X96</f>
        <v>427.53694400000006</v>
      </c>
    </row>
    <row r="3" spans="1:22" ht="29.1" customHeight="1" x14ac:dyDescent="0.2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79">
        <f>'Social Benefits'!W33</f>
        <v>1947.7554285714286</v>
      </c>
      <c r="Q3" s="179">
        <f>'Social Benefits'!X33</f>
        <v>1954.2990000000002</v>
      </c>
    </row>
    <row r="4" spans="1:22" ht="29.1" customHeight="1" x14ac:dyDescent="0.2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79">
        <f>'Social Benefits'!W24</f>
        <v>12</v>
      </c>
      <c r="Q4" s="179">
        <f>'Social Benefits'!X24</f>
        <v>4.2219999999999995</v>
      </c>
    </row>
    <row r="5" spans="1:22" x14ac:dyDescent="0.2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79">
        <f>'Social Benefits'!W30</f>
        <v>1.4159999999999999</v>
      </c>
      <c r="Q5" s="179">
        <f>'Social Benefits'!X30</f>
        <v>1.4790000000000001</v>
      </c>
    </row>
    <row r="6" spans="1:22" x14ac:dyDescent="0.25">
      <c r="A6" s="35" t="s">
        <v>201</v>
      </c>
      <c r="B6" s="35" t="s">
        <v>831</v>
      </c>
      <c r="C6" s="183">
        <f>Subsidies!J45</f>
        <v>0</v>
      </c>
      <c r="D6" s="183">
        <f>Subsidies!K45</f>
        <v>0</v>
      </c>
      <c r="E6" s="183">
        <f>Subsidies!L45</f>
        <v>0</v>
      </c>
      <c r="F6" s="183">
        <f>Subsidies!M45</f>
        <v>0</v>
      </c>
      <c r="G6" s="183">
        <f>Subsidies!N45</f>
        <v>58.782959999999989</v>
      </c>
      <c r="H6" s="183">
        <f>Subsidies!O45</f>
        <v>267.78904</v>
      </c>
      <c r="I6" s="183">
        <f>Subsidies!P45</f>
        <v>110.24799999999999</v>
      </c>
      <c r="J6" s="183">
        <f>Subsidies!Q45</f>
        <v>110.24799999999999</v>
      </c>
      <c r="K6" s="183">
        <f>Subsidies!R45</f>
        <v>110.24799999999999</v>
      </c>
      <c r="L6" s="183">
        <f>Subsidies!S45</f>
        <v>110.24799999999999</v>
      </c>
      <c r="M6" s="183">
        <f>Subsidies!T45</f>
        <v>12.726000000000001</v>
      </c>
      <c r="N6" s="183">
        <f>Subsidies!U45</f>
        <v>12.726000000000001</v>
      </c>
      <c r="O6" s="183">
        <f>Subsidies!V45</f>
        <v>12.726000000000001</v>
      </c>
      <c r="P6" s="180">
        <f>Subsidies!W45</f>
        <v>12.726000000000001</v>
      </c>
      <c r="Q6" s="180">
        <f>Subsidies!X45</f>
        <v>1.365</v>
      </c>
    </row>
    <row r="7" spans="1:22" ht="29.1" customHeight="1" x14ac:dyDescent="0.2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79" t="e">
        <f>Taxes!#REF!</f>
        <v>#REF!</v>
      </c>
      <c r="Q7" s="179" t="e">
        <f>Taxes!#REF!</f>
        <v>#REF!</v>
      </c>
    </row>
    <row r="8" spans="1:22" x14ac:dyDescent="0.25">
      <c r="A8" t="s">
        <v>871</v>
      </c>
      <c r="B8" t="s">
        <v>869</v>
      </c>
      <c r="C8" s="35"/>
      <c r="D8" s="35"/>
      <c r="E8" s="35"/>
      <c r="F8" s="35"/>
      <c r="G8" s="35"/>
      <c r="H8" s="35"/>
      <c r="J8" s="73"/>
      <c r="K8" s="73"/>
      <c r="L8" s="73"/>
      <c r="M8" s="73"/>
      <c r="N8" s="73" t="e">
        <f>forecast!#REF!</f>
        <v>#REF!</v>
      </c>
      <c r="O8" s="73" t="e">
        <f>forecast!#REF!</f>
        <v>#REF!</v>
      </c>
      <c r="P8" s="181" t="e">
        <f>forecast!#REF!</f>
        <v>#REF!</v>
      </c>
      <c r="Q8" s="181" t="e">
        <f>forecast!#REF!</f>
        <v>#REF!</v>
      </c>
    </row>
    <row r="9" spans="1:22" x14ac:dyDescent="0.2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79">
        <f>Grants!W136</f>
        <v>76.048285714285726</v>
      </c>
      <c r="Q9" s="179">
        <f>Grants!X136</f>
        <v>77.707285714285717</v>
      </c>
    </row>
    <row r="10" spans="1:22" x14ac:dyDescent="0.25">
      <c r="A10" t="s">
        <v>1917</v>
      </c>
      <c r="B10" t="s">
        <v>1918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79">
        <f>'Supply Side IRA'!W14</f>
        <v>83.238925829781905</v>
      </c>
      <c r="Q10" s="179">
        <f>'Supply Side IRA'!X14</f>
        <v>107.09511973283159</v>
      </c>
    </row>
    <row r="11" spans="1:22" x14ac:dyDescent="0.25">
      <c r="A11" s="14" t="s">
        <v>1924</v>
      </c>
      <c r="B11" t="s">
        <v>1925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79">
        <f>'Student loans'!W11</f>
        <v>2.0815079999999999</v>
      </c>
      <c r="Q11" s="179">
        <f>'Student loans'!X11</f>
        <v>2.1006180000000003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zoomScale="124" zoomScaleNormal="124" workbookViewId="0">
      <selection activeCell="G16" sqref="G16"/>
    </sheetView>
  </sheetViews>
  <sheetFormatPr defaultColWidth="10.85546875" defaultRowHeight="15" x14ac:dyDescent="0.25"/>
  <cols>
    <col min="1" max="1" width="32.85546875" customWidth="1"/>
    <col min="2" max="2" width="28.5703125" customWidth="1"/>
  </cols>
  <sheetData>
    <row r="1" spans="1:10" x14ac:dyDescent="0.25">
      <c r="A1" s="76" t="s">
        <v>178</v>
      </c>
      <c r="B1" s="76" t="s">
        <v>179</v>
      </c>
      <c r="C1" s="80" t="s">
        <v>190</v>
      </c>
      <c r="D1" s="80" t="s">
        <v>191</v>
      </c>
      <c r="E1" s="80" t="s">
        <v>175</v>
      </c>
      <c r="F1" s="80" t="s">
        <v>176</v>
      </c>
      <c r="G1" s="80" t="s">
        <v>177</v>
      </c>
      <c r="H1" s="80" t="s">
        <v>768</v>
      </c>
      <c r="I1" s="80" t="s">
        <v>769</v>
      </c>
      <c r="J1" s="80" t="s">
        <v>770</v>
      </c>
    </row>
    <row r="2" spans="1:10" x14ac:dyDescent="0.25">
      <c r="A2" s="79" t="s">
        <v>1714</v>
      </c>
      <c r="B2" t="s">
        <v>1732</v>
      </c>
      <c r="C2" s="71">
        <f>Deflators!Y23</f>
        <v>7.4240241023963982E-3</v>
      </c>
      <c r="D2" s="71">
        <f>Deflators!Z23</f>
        <v>6.7467592917389574E-3</v>
      </c>
      <c r="E2" s="71">
        <f>Deflators!AA23</f>
        <v>5.9818527768733532E-3</v>
      </c>
      <c r="F2" s="71">
        <f>Deflators!AB23</f>
        <v>5.4611864159228585E-3</v>
      </c>
      <c r="G2" s="71">
        <f>Deflators!AC23</f>
        <v>5.5586625778949461E-3</v>
      </c>
      <c r="H2" s="184">
        <f>Deflators!AD23</f>
        <v>5.5029554837768835E-3</v>
      </c>
      <c r="I2" s="184">
        <f>Deflators!AE23</f>
        <v>5.4399454510802858E-3</v>
      </c>
      <c r="J2" s="184">
        <f>Deflators!AF23</f>
        <v>5.3415046691636103E-3</v>
      </c>
    </row>
    <row r="3" spans="1:10" x14ac:dyDescent="0.25">
      <c r="A3" s="47" t="s">
        <v>1728</v>
      </c>
      <c r="B3" t="s">
        <v>1733</v>
      </c>
      <c r="C3" s="71">
        <f>Deflators!Y24</f>
        <v>5.8704118201500233E-3</v>
      </c>
      <c r="D3" s="71">
        <f>Deflators!Z24</f>
        <v>6.329834073945273E-3</v>
      </c>
      <c r="E3" s="71">
        <f>Deflators!AA24</f>
        <v>6.6395464188786502E-3</v>
      </c>
      <c r="F3" s="71">
        <f>Deflators!AB24</f>
        <v>6.994562758928291E-3</v>
      </c>
      <c r="G3" s="71">
        <f>Deflators!AC24</f>
        <v>6.4487689092207479E-3</v>
      </c>
      <c r="H3" s="184">
        <f>Deflators!AD24</f>
        <v>6.3423396237440866E-3</v>
      </c>
      <c r="I3" s="184">
        <f>Deflators!AE24</f>
        <v>6.25676994931057E-3</v>
      </c>
      <c r="J3" s="184">
        <f>Deflators!AF24</f>
        <v>6.1065110726108429E-3</v>
      </c>
    </row>
    <row r="4" spans="1:10" x14ac:dyDescent="0.25">
      <c r="A4" s="47" t="s">
        <v>1729</v>
      </c>
      <c r="B4" t="s">
        <v>1734</v>
      </c>
      <c r="C4" s="71">
        <f>Deflators!Y25</f>
        <v>7.4170717777328754E-3</v>
      </c>
      <c r="D4" s="71">
        <f>Deflators!Z25</f>
        <v>5.5852157249145495E-3</v>
      </c>
      <c r="E4" s="71">
        <f>Deflators!AA25</f>
        <v>6.3902003607594349E-3</v>
      </c>
      <c r="F4" s="71">
        <f>Deflators!AB25</f>
        <v>6.2544278820970689E-3</v>
      </c>
      <c r="G4" s="71">
        <f>Deflators!AC25</f>
        <v>6.6127933770079306E-3</v>
      </c>
      <c r="H4" s="184">
        <f>Deflators!AD25</f>
        <v>6.5669221091098073E-3</v>
      </c>
      <c r="I4" s="184">
        <f>Deflators!AE25</f>
        <v>6.5818238868864398E-3</v>
      </c>
      <c r="J4" s="184">
        <f>Deflators!AF25</f>
        <v>6.5848195263480402E-3</v>
      </c>
    </row>
    <row r="5" spans="1:10" x14ac:dyDescent="0.25">
      <c r="A5" s="47" t="s">
        <v>1730</v>
      </c>
      <c r="B5" t="s">
        <v>1735</v>
      </c>
      <c r="C5" s="71">
        <f>Deflators!Y26</f>
        <v>7.4170717777328754E-3</v>
      </c>
      <c r="D5" s="71">
        <f>Deflators!Z26</f>
        <v>5.5852157249145495E-3</v>
      </c>
      <c r="E5" s="71">
        <f>Deflators!AA26</f>
        <v>6.3902003607594349E-3</v>
      </c>
      <c r="F5" s="71">
        <f>Deflators!AB26</f>
        <v>6.2544278820970689E-3</v>
      </c>
      <c r="G5" s="71">
        <f>Deflators!AC26</f>
        <v>6.6127933770079306E-3</v>
      </c>
      <c r="H5" s="184">
        <f>Deflators!AD26</f>
        <v>6.5669221091098073E-3</v>
      </c>
      <c r="I5" s="184">
        <f>Deflators!AE26</f>
        <v>6.5818238868864398E-3</v>
      </c>
      <c r="J5" s="184">
        <f>Deflators!AF26</f>
        <v>6.5848195263480402E-3</v>
      </c>
    </row>
    <row r="6" spans="1:10" x14ac:dyDescent="0.25">
      <c r="A6" s="35" t="s">
        <v>1731</v>
      </c>
      <c r="B6" t="s">
        <v>1736</v>
      </c>
      <c r="C6" s="71">
        <f>Deflators!Y27</f>
        <v>7.4170717777328754E-3</v>
      </c>
      <c r="D6" s="71">
        <f>Deflators!Z27</f>
        <v>5.5852157249145495E-3</v>
      </c>
      <c r="E6" s="71">
        <f>Deflators!AA27</f>
        <v>6.3902003607594349E-3</v>
      </c>
      <c r="F6" s="71">
        <f>Deflators!AB27</f>
        <v>6.2544278820970689E-3</v>
      </c>
      <c r="G6" s="71">
        <f>Deflators!AC27</f>
        <v>6.6127933770079306E-3</v>
      </c>
      <c r="H6" s="184">
        <f>Deflators!AD27</f>
        <v>6.5669221091098073E-3</v>
      </c>
      <c r="I6" s="184">
        <f>Deflators!AE27</f>
        <v>6.5818238868864398E-3</v>
      </c>
      <c r="J6" s="184">
        <f>Deflators!AF27</f>
        <v>6.5848195263480402E-3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85546875" defaultRowHeight="15" x14ac:dyDescent="0.25"/>
  <cols>
    <col min="1" max="2" width="70.85546875" customWidth="1"/>
  </cols>
  <sheetData>
    <row r="1" spans="1:45" ht="15.6" customHeight="1" x14ac:dyDescent="0.25">
      <c r="A1" s="1356" t="s">
        <v>254</v>
      </c>
      <c r="B1" s="1356"/>
      <c r="C1" s="1356"/>
      <c r="D1" s="1356"/>
      <c r="E1" s="1356"/>
      <c r="F1" s="1356"/>
      <c r="G1" s="1356"/>
      <c r="H1" s="1356"/>
      <c r="I1" s="1356"/>
      <c r="J1" s="1356"/>
      <c r="K1" s="1356"/>
      <c r="L1" s="1356"/>
      <c r="M1" s="1356"/>
      <c r="N1" s="1356"/>
      <c r="O1" s="1356"/>
    </row>
    <row r="2" spans="1:45" ht="31.35" customHeight="1" x14ac:dyDescent="0.25">
      <c r="A2" s="185"/>
      <c r="B2" s="185" t="s">
        <v>179</v>
      </c>
      <c r="C2" s="191">
        <v>1</v>
      </c>
      <c r="D2" s="191">
        <f>C2+1</f>
        <v>2</v>
      </c>
      <c r="E2" s="191">
        <f t="shared" ref="E2:N2" si="0">D2+1</f>
        <v>3</v>
      </c>
      <c r="F2" s="191">
        <f t="shared" si="0"/>
        <v>4</v>
      </c>
      <c r="G2" s="191">
        <f t="shared" si="0"/>
        <v>5</v>
      </c>
      <c r="H2" s="191">
        <f t="shared" si="0"/>
        <v>6</v>
      </c>
      <c r="I2" s="191">
        <f t="shared" si="0"/>
        <v>7</v>
      </c>
      <c r="J2" s="191">
        <f t="shared" si="0"/>
        <v>8</v>
      </c>
      <c r="K2" s="191">
        <f t="shared" si="0"/>
        <v>9</v>
      </c>
      <c r="L2" s="191">
        <f t="shared" si="0"/>
        <v>10</v>
      </c>
      <c r="M2" s="191">
        <f t="shared" si="0"/>
        <v>11</v>
      </c>
      <c r="N2" s="191">
        <f t="shared" si="0"/>
        <v>12</v>
      </c>
      <c r="O2" s="189" t="s">
        <v>255</v>
      </c>
    </row>
    <row r="3" spans="1:45" ht="15.6" customHeight="1" x14ac:dyDescent="0.25">
      <c r="A3" s="186" t="s">
        <v>256</v>
      </c>
      <c r="B3" s="186" t="s">
        <v>257</v>
      </c>
      <c r="C3" s="71">
        <v>0.22500000000000001</v>
      </c>
      <c r="D3" s="71">
        <v>0.22500000000000001</v>
      </c>
      <c r="E3" s="71">
        <v>0.22500000000000001</v>
      </c>
      <c r="F3" s="71">
        <v>0.22500000000000001</v>
      </c>
      <c r="G3" s="192">
        <v>0</v>
      </c>
      <c r="H3" s="192">
        <v>0</v>
      </c>
      <c r="I3" s="192">
        <v>0</v>
      </c>
      <c r="J3" s="192">
        <v>0</v>
      </c>
      <c r="K3" s="192">
        <v>0</v>
      </c>
      <c r="L3" s="192">
        <v>0</v>
      </c>
      <c r="M3" s="192">
        <v>0</v>
      </c>
      <c r="N3" s="192">
        <v>0</v>
      </c>
      <c r="O3" s="190">
        <f>SUM(C3:N3)</f>
        <v>0.9</v>
      </c>
      <c r="P3" s="71"/>
      <c r="Q3" s="71"/>
      <c r="R3" s="71"/>
      <c r="S3" s="71"/>
      <c r="T3" s="192"/>
      <c r="U3" s="192"/>
      <c r="V3" s="192"/>
      <c r="W3" s="192"/>
      <c r="X3" s="192"/>
      <c r="Y3" s="192"/>
      <c r="Z3" s="192"/>
      <c r="AA3" s="192"/>
      <c r="AC3" s="75"/>
      <c r="AD3" s="75"/>
      <c r="AE3" s="75"/>
      <c r="AF3" s="75"/>
      <c r="AG3" s="75"/>
      <c r="AH3" s="75"/>
      <c r="AI3" s="75"/>
      <c r="AJ3" s="75"/>
      <c r="AK3" s="75"/>
      <c r="AL3" s="75"/>
      <c r="AM3" s="75"/>
      <c r="AN3" s="75"/>
      <c r="AO3" s="75"/>
      <c r="AP3" s="75"/>
      <c r="AQ3" s="75"/>
      <c r="AR3" s="75"/>
      <c r="AS3" s="75"/>
    </row>
    <row r="4" spans="1:45" ht="15.6" customHeight="1" x14ac:dyDescent="0.25">
      <c r="A4" s="188" t="s">
        <v>258</v>
      </c>
      <c r="B4" s="188" t="s">
        <v>259</v>
      </c>
      <c r="C4" s="71">
        <v>-3.3333333333333333E-2</v>
      </c>
      <c r="D4" s="71">
        <v>-3.3333333333333333E-2</v>
      </c>
      <c r="E4" s="71">
        <v>-3.3333333333333333E-2</v>
      </c>
      <c r="F4" s="71">
        <v>-3.3333333333333333E-2</v>
      </c>
      <c r="G4" s="71">
        <v>-3.3333333333333333E-2</v>
      </c>
      <c r="H4" s="71">
        <v>-3.3333333333333333E-2</v>
      </c>
      <c r="I4" s="71">
        <v>-3.3333333333333333E-2</v>
      </c>
      <c r="J4" s="71">
        <v>-3.3333333333333333E-2</v>
      </c>
      <c r="K4" s="71">
        <v>-3.3333333333333333E-2</v>
      </c>
      <c r="L4" s="71">
        <v>-3.3333333333333333E-2</v>
      </c>
      <c r="M4" s="71">
        <v>-3.3333333333333333E-2</v>
      </c>
      <c r="N4" s="71">
        <v>-3.3333333333333333E-2</v>
      </c>
      <c r="O4" s="190">
        <f>SUM(C4:N4)</f>
        <v>-0.39999999999999997</v>
      </c>
      <c r="P4" s="71"/>
      <c r="Q4" s="71"/>
      <c r="R4" s="71"/>
      <c r="S4" s="71"/>
      <c r="T4" s="71"/>
      <c r="U4" s="71"/>
      <c r="V4" s="71"/>
      <c r="W4" s="71"/>
      <c r="X4" s="71"/>
      <c r="Y4" s="71"/>
      <c r="Z4" s="71"/>
      <c r="AA4" s="71"/>
      <c r="AC4" s="75"/>
      <c r="AD4" s="75"/>
      <c r="AE4" s="75"/>
      <c r="AF4" s="75"/>
      <c r="AG4" s="75"/>
      <c r="AH4" s="75"/>
      <c r="AI4" s="75"/>
      <c r="AJ4" s="75"/>
      <c r="AK4" s="75"/>
      <c r="AL4" s="75"/>
      <c r="AM4" s="75"/>
      <c r="AN4" s="75"/>
    </row>
    <row r="5" spans="1:45" ht="15.6" customHeight="1" x14ac:dyDescent="0.25">
      <c r="A5" s="188" t="s">
        <v>260</v>
      </c>
      <c r="B5" s="188" t="s">
        <v>261</v>
      </c>
      <c r="C5" s="71">
        <v>-0.12</v>
      </c>
      <c r="D5" s="71">
        <v>-0.12</v>
      </c>
      <c r="E5" s="71">
        <v>-0.06</v>
      </c>
      <c r="F5" s="71">
        <v>-0.06</v>
      </c>
      <c r="G5" s="71">
        <v>-0.06</v>
      </c>
      <c r="H5" s="71">
        <v>-0.06</v>
      </c>
      <c r="I5" s="71">
        <v>-0.06</v>
      </c>
      <c r="J5" s="71">
        <v>-0.06</v>
      </c>
      <c r="K5" s="71">
        <v>0</v>
      </c>
      <c r="L5" s="71">
        <v>0</v>
      </c>
      <c r="M5" s="71">
        <v>0</v>
      </c>
      <c r="N5" s="71">
        <v>0</v>
      </c>
      <c r="O5" s="190">
        <f t="shared" ref="O5:O13" si="1">SUM(C5:N5)</f>
        <v>-0.60000000000000009</v>
      </c>
      <c r="P5" s="71"/>
      <c r="Q5" s="71"/>
      <c r="R5" s="71"/>
      <c r="S5" s="71"/>
      <c r="T5" s="71"/>
      <c r="U5" s="71"/>
      <c r="V5" s="71"/>
      <c r="W5" s="71"/>
      <c r="X5" s="71"/>
      <c r="Y5" s="71"/>
      <c r="Z5" s="71"/>
      <c r="AA5" s="71"/>
      <c r="AC5" s="75"/>
      <c r="AD5" s="75"/>
      <c r="AE5" s="75"/>
      <c r="AF5" s="75"/>
      <c r="AG5" s="75"/>
      <c r="AH5" s="75"/>
      <c r="AI5" s="75"/>
      <c r="AJ5" s="75"/>
      <c r="AK5" s="75"/>
      <c r="AL5" s="75"/>
      <c r="AM5" s="75"/>
      <c r="AN5" s="75"/>
    </row>
    <row r="6" spans="1:45" ht="15.6" customHeight="1" x14ac:dyDescent="0.25">
      <c r="A6" s="186" t="s">
        <v>262</v>
      </c>
      <c r="B6" s="186" t="s">
        <v>213</v>
      </c>
      <c r="C6" s="71">
        <v>0.24499999999999997</v>
      </c>
      <c r="D6" s="71">
        <v>0.105</v>
      </c>
      <c r="E6" s="71">
        <v>5.5999999999999994E-2</v>
      </c>
      <c r="F6" s="71">
        <v>5.5999999999999994E-2</v>
      </c>
      <c r="G6" s="71">
        <v>5.5999999999999994E-2</v>
      </c>
      <c r="H6" s="71">
        <v>5.5999999999999994E-2</v>
      </c>
      <c r="I6" s="71">
        <v>5.5999999999999994E-2</v>
      </c>
      <c r="J6" s="71">
        <v>5.5999999999999994E-2</v>
      </c>
      <c r="K6" s="71">
        <v>0</v>
      </c>
      <c r="L6" s="71">
        <v>0</v>
      </c>
      <c r="M6" s="71">
        <v>0</v>
      </c>
      <c r="N6" s="71">
        <v>0</v>
      </c>
      <c r="O6" s="190">
        <f t="shared" si="1"/>
        <v>0.68600000000000017</v>
      </c>
      <c r="P6" s="71"/>
      <c r="Q6" s="71"/>
      <c r="R6" s="71"/>
      <c r="S6" s="71"/>
      <c r="T6" s="71"/>
      <c r="U6" s="71"/>
      <c r="V6" s="71"/>
      <c r="W6" s="71"/>
      <c r="X6" s="71"/>
      <c r="Y6" s="71"/>
      <c r="Z6" s="71"/>
      <c r="AA6" s="71"/>
      <c r="AC6" s="75"/>
      <c r="AD6" s="75"/>
      <c r="AE6" s="75"/>
      <c r="AF6" s="75"/>
      <c r="AG6" s="75"/>
      <c r="AH6" s="75"/>
      <c r="AI6" s="75"/>
      <c r="AJ6" s="75"/>
      <c r="AK6" s="75"/>
      <c r="AL6" s="75"/>
      <c r="AM6" s="75"/>
      <c r="AN6" s="75"/>
    </row>
    <row r="7" spans="1:45" ht="15.6" customHeight="1" x14ac:dyDescent="0.25">
      <c r="A7" s="186" t="s">
        <v>263</v>
      </c>
      <c r="B7" s="186" t="s">
        <v>264</v>
      </c>
      <c r="C7" s="71">
        <v>0.315</v>
      </c>
      <c r="D7" s="71">
        <v>0.315</v>
      </c>
      <c r="E7" s="71">
        <v>9.0000000000000011E-2</v>
      </c>
      <c r="F7" s="71">
        <v>9.0000000000000011E-2</v>
      </c>
      <c r="G7" s="71">
        <v>4.5000000000000005E-2</v>
      </c>
      <c r="H7" s="71">
        <v>4.5000000000000005E-2</v>
      </c>
      <c r="I7" s="71">
        <v>0</v>
      </c>
      <c r="J7" s="71">
        <v>0</v>
      </c>
      <c r="K7" s="71">
        <v>0</v>
      </c>
      <c r="L7" s="71">
        <v>0</v>
      </c>
      <c r="M7" s="71">
        <v>0</v>
      </c>
      <c r="N7" s="71">
        <v>0</v>
      </c>
      <c r="O7" s="190">
        <f t="shared" si="1"/>
        <v>0.9</v>
      </c>
      <c r="P7" s="71"/>
      <c r="Q7" s="71"/>
      <c r="R7" s="71"/>
      <c r="S7" s="71"/>
      <c r="T7" s="71"/>
      <c r="U7" s="71"/>
      <c r="V7" s="71"/>
      <c r="W7" s="71"/>
      <c r="X7" s="71"/>
      <c r="Y7" s="71"/>
      <c r="Z7" s="71"/>
      <c r="AA7" s="71"/>
      <c r="AC7" s="75"/>
      <c r="AD7" s="75"/>
      <c r="AE7" s="75"/>
      <c r="AF7" s="75"/>
      <c r="AG7" s="75"/>
      <c r="AH7" s="75"/>
      <c r="AI7" s="75"/>
      <c r="AJ7" s="75"/>
      <c r="AK7" s="75"/>
      <c r="AL7" s="75"/>
      <c r="AM7" s="75"/>
      <c r="AN7" s="75"/>
    </row>
    <row r="8" spans="1:45" ht="15.6" customHeight="1" x14ac:dyDescent="0.25">
      <c r="A8" s="186" t="s">
        <v>265</v>
      </c>
      <c r="B8" s="186" t="s">
        <v>266</v>
      </c>
      <c r="C8" s="71">
        <v>0.22500000000000001</v>
      </c>
      <c r="D8" s="71">
        <v>0.22500000000000001</v>
      </c>
      <c r="E8" s="71">
        <v>0.22500000000000001</v>
      </c>
      <c r="F8" s="71">
        <v>0.22500000000000001</v>
      </c>
      <c r="G8" s="71">
        <v>0</v>
      </c>
      <c r="H8" s="71">
        <v>0</v>
      </c>
      <c r="I8" s="71">
        <v>0</v>
      </c>
      <c r="J8" s="71">
        <v>0</v>
      </c>
      <c r="K8" s="71">
        <v>0</v>
      </c>
      <c r="L8" s="71">
        <v>0</v>
      </c>
      <c r="M8" s="71">
        <v>0</v>
      </c>
      <c r="N8" s="71">
        <v>0</v>
      </c>
      <c r="O8" s="190">
        <f t="shared" si="1"/>
        <v>0.9</v>
      </c>
      <c r="P8" s="71"/>
      <c r="Q8" s="71"/>
      <c r="R8" s="71"/>
      <c r="S8" s="71"/>
      <c r="T8" s="71"/>
      <c r="U8" s="71"/>
      <c r="V8" s="71"/>
      <c r="W8" s="71"/>
      <c r="X8" s="71"/>
      <c r="Y8" s="71"/>
      <c r="Z8" s="71"/>
      <c r="AA8" s="71"/>
      <c r="AC8" s="75"/>
      <c r="AD8" s="75"/>
      <c r="AE8" s="75"/>
      <c r="AF8" s="75"/>
      <c r="AG8" s="75"/>
      <c r="AH8" s="75"/>
      <c r="AI8" s="75"/>
      <c r="AJ8" s="75"/>
      <c r="AK8" s="75"/>
      <c r="AL8" s="75"/>
      <c r="AM8" s="75"/>
      <c r="AN8" s="75"/>
    </row>
    <row r="9" spans="1:45" ht="15.6" customHeight="1" x14ac:dyDescent="0.25">
      <c r="A9" s="186" t="s">
        <v>267</v>
      </c>
      <c r="B9" s="186" t="s">
        <v>268</v>
      </c>
      <c r="C9" s="71">
        <v>4.9500000000000002E-2</v>
      </c>
      <c r="D9" s="71">
        <v>4.2750000000000003E-2</v>
      </c>
      <c r="E9" s="71">
        <v>4.0500000000000001E-2</v>
      </c>
      <c r="F9" s="71">
        <v>3.8250000000000006E-2</v>
      </c>
      <c r="G9" s="71">
        <v>3.6000000000000004E-2</v>
      </c>
      <c r="H9" s="71">
        <v>3.6000000000000004E-2</v>
      </c>
      <c r="I9" s="71">
        <v>3.6000000000000004E-2</v>
      </c>
      <c r="J9" s="71">
        <v>3.6000000000000004E-2</v>
      </c>
      <c r="K9" s="71">
        <v>3.3750000000000002E-2</v>
      </c>
      <c r="L9" s="71">
        <v>3.3750000000000002E-2</v>
      </c>
      <c r="M9" s="71">
        <v>3.3750000000000002E-2</v>
      </c>
      <c r="N9" s="71">
        <v>3.3750000000000002E-2</v>
      </c>
      <c r="O9" s="190">
        <f t="shared" si="1"/>
        <v>0.45000000000000007</v>
      </c>
      <c r="P9" s="71"/>
      <c r="Q9" s="71"/>
      <c r="R9" s="71"/>
      <c r="S9" s="71"/>
      <c r="T9" s="71"/>
      <c r="U9" s="71"/>
      <c r="V9" s="71"/>
      <c r="W9" s="71"/>
      <c r="X9" s="71"/>
      <c r="Y9" s="71"/>
      <c r="Z9" s="71"/>
      <c r="AA9" s="71"/>
      <c r="AC9" s="75"/>
      <c r="AD9" s="75"/>
      <c r="AE9" s="75"/>
      <c r="AF9" s="75"/>
      <c r="AG9" s="75"/>
      <c r="AH9" s="75"/>
      <c r="AI9" s="75"/>
      <c r="AJ9" s="75"/>
      <c r="AK9" s="75"/>
      <c r="AL9" s="75"/>
      <c r="AM9" s="75"/>
      <c r="AN9" s="75"/>
    </row>
    <row r="10" spans="1:45" ht="15.6" customHeight="1" x14ac:dyDescent="0.25">
      <c r="A10" s="186" t="s">
        <v>269</v>
      </c>
      <c r="B10" s="186" t="s">
        <v>215</v>
      </c>
      <c r="C10" s="71">
        <v>0.14000000000000001</v>
      </c>
      <c r="D10" s="71">
        <v>0.1</v>
      </c>
      <c r="E10" s="71">
        <v>0.1</v>
      </c>
      <c r="F10" s="71">
        <v>0.05</v>
      </c>
      <c r="G10" s="71">
        <v>0.05</v>
      </c>
      <c r="H10" s="71">
        <v>0.05</v>
      </c>
      <c r="I10" s="71">
        <v>0.05</v>
      </c>
      <c r="J10" s="71">
        <v>0.05</v>
      </c>
      <c r="K10" s="71">
        <v>0.05</v>
      </c>
      <c r="L10" s="71">
        <v>0.03</v>
      </c>
      <c r="M10" s="71">
        <v>0.03</v>
      </c>
      <c r="N10" s="71">
        <v>0.03</v>
      </c>
      <c r="O10" s="190">
        <f>SUM(C10:N10)</f>
        <v>0.7300000000000002</v>
      </c>
      <c r="P10" s="71"/>
      <c r="Q10" s="71"/>
      <c r="R10" s="71"/>
      <c r="S10" s="71"/>
      <c r="T10" s="71"/>
      <c r="U10" s="71"/>
      <c r="V10" s="71"/>
      <c r="W10" s="71"/>
      <c r="X10" s="71"/>
      <c r="Y10" s="71"/>
      <c r="Z10" s="71"/>
      <c r="AA10" s="71"/>
      <c r="AC10" s="75"/>
      <c r="AD10" s="75"/>
      <c r="AE10" s="75"/>
      <c r="AF10" s="75"/>
      <c r="AG10" s="75"/>
      <c r="AH10" s="75"/>
      <c r="AI10" s="75"/>
      <c r="AJ10" s="75"/>
      <c r="AK10" s="75"/>
      <c r="AL10" s="75"/>
      <c r="AM10" s="75"/>
      <c r="AN10" s="75"/>
    </row>
    <row r="11" spans="1:45" ht="15.6" customHeight="1" x14ac:dyDescent="0.25">
      <c r="A11" s="186" t="s">
        <v>270</v>
      </c>
      <c r="B11" s="186" t="s">
        <v>271</v>
      </c>
      <c r="C11" s="71">
        <v>0.2</v>
      </c>
      <c r="D11" s="71">
        <v>0.17</v>
      </c>
      <c r="E11" s="71">
        <v>0.16</v>
      </c>
      <c r="F11" s="71">
        <v>0.15</v>
      </c>
      <c r="G11" s="71">
        <v>0.09</v>
      </c>
      <c r="H11" s="71">
        <v>0.05</v>
      </c>
      <c r="I11" s="71">
        <v>0.05</v>
      </c>
      <c r="J11" s="71">
        <v>0.04</v>
      </c>
      <c r="K11" s="71">
        <v>0</v>
      </c>
      <c r="L11" s="71">
        <v>0</v>
      </c>
      <c r="M11" s="71">
        <v>0</v>
      </c>
      <c r="N11" s="71">
        <v>0</v>
      </c>
      <c r="O11" s="190">
        <f>SUM(C11:N11)</f>
        <v>0.91000000000000014</v>
      </c>
      <c r="P11" s="71"/>
      <c r="Q11" s="71"/>
      <c r="R11" s="71"/>
      <c r="S11" s="71"/>
      <c r="T11" s="71"/>
      <c r="U11" s="71"/>
      <c r="V11" s="71"/>
      <c r="W11" s="71"/>
      <c r="X11" s="71"/>
      <c r="Y11" s="71"/>
      <c r="Z11" s="71"/>
      <c r="AA11" s="71"/>
      <c r="AC11" s="75"/>
      <c r="AD11" s="75"/>
      <c r="AE11" s="75"/>
      <c r="AF11" s="75"/>
      <c r="AG11" s="75"/>
      <c r="AH11" s="75"/>
      <c r="AI11" s="75"/>
      <c r="AJ11" s="75"/>
      <c r="AK11" s="75"/>
      <c r="AL11" s="75"/>
      <c r="AM11" s="75"/>
      <c r="AN11" s="75"/>
    </row>
    <row r="12" spans="1:45" ht="47.1" customHeight="1" x14ac:dyDescent="0.25">
      <c r="A12" s="187" t="s">
        <v>272</v>
      </c>
      <c r="B12" s="187" t="s">
        <v>273</v>
      </c>
      <c r="C12" s="71">
        <v>0.2</v>
      </c>
      <c r="D12" s="71">
        <v>0.17</v>
      </c>
      <c r="E12" s="71">
        <v>0.16</v>
      </c>
      <c r="F12" s="71">
        <v>0.15</v>
      </c>
      <c r="G12" s="71">
        <v>0.09</v>
      </c>
      <c r="H12" s="71">
        <v>0.05</v>
      </c>
      <c r="I12" s="71">
        <v>0.05</v>
      </c>
      <c r="J12" s="71">
        <v>0.04</v>
      </c>
      <c r="K12" s="71">
        <v>0</v>
      </c>
      <c r="L12" s="71">
        <v>0</v>
      </c>
      <c r="M12" s="71">
        <v>0</v>
      </c>
      <c r="N12" s="71">
        <v>0</v>
      </c>
      <c r="O12" s="190">
        <f t="shared" si="1"/>
        <v>0.91000000000000014</v>
      </c>
      <c r="P12" s="71"/>
      <c r="Q12" s="71"/>
      <c r="R12" s="71"/>
      <c r="S12" s="71"/>
      <c r="T12" s="71"/>
      <c r="U12" s="71"/>
      <c r="V12" s="71"/>
      <c r="W12" s="71"/>
      <c r="X12" s="71"/>
      <c r="Y12" s="71"/>
      <c r="Z12" s="71"/>
      <c r="AA12" s="71"/>
      <c r="AC12" s="75"/>
      <c r="AD12" s="75"/>
      <c r="AE12" s="75"/>
      <c r="AF12" s="75"/>
      <c r="AG12" s="75"/>
      <c r="AH12" s="75"/>
      <c r="AI12" s="75"/>
      <c r="AJ12" s="75"/>
      <c r="AK12" s="75"/>
      <c r="AL12" s="75"/>
      <c r="AM12" s="75"/>
      <c r="AN12" s="75"/>
    </row>
    <row r="13" spans="1:45" ht="31.35" customHeight="1" x14ac:dyDescent="0.25">
      <c r="A13" s="187" t="s">
        <v>274</v>
      </c>
      <c r="B13" s="187" t="s">
        <v>275</v>
      </c>
      <c r="C13" s="71">
        <v>0.14000000000000001</v>
      </c>
      <c r="D13" s="71">
        <v>0.1</v>
      </c>
      <c r="E13" s="71">
        <v>0.1</v>
      </c>
      <c r="F13" s="71">
        <v>0.05</v>
      </c>
      <c r="G13" s="71">
        <v>0.05</v>
      </c>
      <c r="H13" s="71">
        <v>0.05</v>
      </c>
      <c r="I13" s="71">
        <v>0.05</v>
      </c>
      <c r="J13" s="71">
        <v>0.05</v>
      </c>
      <c r="K13" s="71">
        <v>0.05</v>
      </c>
      <c r="L13" s="71">
        <v>0</v>
      </c>
      <c r="M13" s="71">
        <v>0</v>
      </c>
      <c r="N13" s="71">
        <v>0</v>
      </c>
      <c r="O13" s="190">
        <f t="shared" si="1"/>
        <v>0.64000000000000012</v>
      </c>
      <c r="P13" s="71"/>
      <c r="Q13" s="71"/>
      <c r="R13" s="71"/>
      <c r="S13" s="71"/>
      <c r="T13" s="71"/>
      <c r="U13" s="71"/>
      <c r="V13" s="71"/>
      <c r="W13" s="71"/>
      <c r="X13" s="71"/>
      <c r="Y13" s="71"/>
      <c r="Z13" s="71"/>
      <c r="AA13" s="71"/>
      <c r="AC13" s="75"/>
      <c r="AD13" s="75"/>
      <c r="AE13" s="75"/>
      <c r="AF13" s="75"/>
      <c r="AG13" s="75"/>
      <c r="AH13" s="75"/>
      <c r="AI13" s="75"/>
      <c r="AJ13" s="75"/>
      <c r="AK13" s="75"/>
      <c r="AL13" s="75"/>
      <c r="AM13" s="75"/>
      <c r="AN13" s="75"/>
    </row>
    <row r="14" spans="1:45" ht="47.1" customHeight="1" x14ac:dyDescent="0.25">
      <c r="A14" s="187" t="s">
        <v>276</v>
      </c>
      <c r="B14" s="187" t="s">
        <v>277</v>
      </c>
      <c r="C14" s="71">
        <v>0.04</v>
      </c>
      <c r="D14" s="71">
        <v>0.04</v>
      </c>
      <c r="E14" s="71">
        <v>1.7000000000000001E-2</v>
      </c>
      <c r="F14" s="71">
        <v>1.7000000000000001E-2</v>
      </c>
      <c r="G14" s="71">
        <v>1.7000000000000001E-2</v>
      </c>
      <c r="H14" s="71">
        <v>1.7000000000000001E-2</v>
      </c>
      <c r="I14" s="71">
        <v>1.7000000000000001E-2</v>
      </c>
      <c r="J14" s="71">
        <v>1.7000000000000001E-2</v>
      </c>
      <c r="K14" s="71">
        <v>1.7000000000000001E-2</v>
      </c>
      <c r="L14" s="71">
        <v>1.7000000000000001E-2</v>
      </c>
      <c r="M14" s="71">
        <v>1.7000000000000001E-2</v>
      </c>
      <c r="N14" s="71">
        <v>1.7000000000000001E-2</v>
      </c>
      <c r="O14" s="190">
        <f>SUM(C14:N14)</f>
        <v>0.25000000000000011</v>
      </c>
      <c r="P14" s="71"/>
      <c r="Q14" s="71"/>
      <c r="R14" s="71"/>
      <c r="S14" s="71"/>
      <c r="T14" s="71"/>
      <c r="U14" s="71"/>
      <c r="V14" s="71"/>
      <c r="W14" s="71"/>
      <c r="X14" s="71"/>
      <c r="Y14" s="71"/>
      <c r="Z14" s="71"/>
      <c r="AA14" s="71"/>
      <c r="AC14" s="75"/>
      <c r="AD14" s="75"/>
      <c r="AE14" s="75"/>
      <c r="AF14" s="75"/>
      <c r="AG14" s="75"/>
      <c r="AH14" s="75"/>
      <c r="AI14" s="75"/>
      <c r="AJ14" s="75"/>
      <c r="AK14" s="75"/>
      <c r="AL14" s="75"/>
      <c r="AM14" s="75"/>
      <c r="AN14" s="75"/>
    </row>
    <row r="15" spans="1:45" ht="15.75" customHeight="1" x14ac:dyDescent="0.25">
      <c r="B15" s="187"/>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zoomScaleNormal="100" workbookViewId="0">
      <selection activeCell="B23" sqref="B23"/>
    </sheetView>
  </sheetViews>
  <sheetFormatPr defaultColWidth="10.8554687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6" width="9.42578125" customWidth="1"/>
    <col min="37" max="40" width="8.42578125" customWidth="1"/>
  </cols>
  <sheetData>
    <row r="1" spans="2:34" x14ac:dyDescent="0.25">
      <c r="B1" s="1357" t="s">
        <v>53</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c r="AD1" s="193"/>
      <c r="AE1" s="193"/>
      <c r="AF1" s="193"/>
      <c r="AG1" s="193"/>
    </row>
    <row r="2" spans="2:34" ht="14.25" customHeight="1" x14ac:dyDescent="0.25">
      <c r="B2" s="1358" t="s">
        <v>278</v>
      </c>
      <c r="C2" s="1358"/>
      <c r="D2" s="1358"/>
      <c r="E2" s="1358"/>
      <c r="F2" s="1358"/>
      <c r="G2" s="1358"/>
      <c r="H2" s="1358"/>
      <c r="I2" s="1358"/>
      <c r="J2" s="1358"/>
      <c r="K2" s="1358"/>
      <c r="L2" s="1358"/>
      <c r="M2" s="1358"/>
      <c r="N2" s="1358"/>
      <c r="O2" s="1358"/>
      <c r="P2" s="1358"/>
      <c r="Q2" s="1358"/>
      <c r="R2" s="1358"/>
      <c r="S2" s="1358"/>
      <c r="T2" s="1358"/>
      <c r="U2" s="1358"/>
      <c r="V2" s="1358"/>
      <c r="W2" s="1358"/>
      <c r="X2" s="1358"/>
      <c r="Y2" s="1358"/>
      <c r="Z2" s="1358"/>
      <c r="AA2" s="1358"/>
      <c r="AB2" s="1358"/>
      <c r="AC2" s="1358"/>
      <c r="AD2" s="194"/>
      <c r="AE2" s="194"/>
      <c r="AF2" s="194"/>
      <c r="AG2" s="194"/>
    </row>
    <row r="3" spans="2:34" x14ac:dyDescent="0.25">
      <c r="B3" s="1358"/>
      <c r="C3" s="1358"/>
      <c r="D3" s="1358"/>
      <c r="E3" s="1358"/>
      <c r="F3" s="1358"/>
      <c r="G3" s="1358"/>
      <c r="H3" s="1358"/>
      <c r="I3" s="1358"/>
      <c r="J3" s="1358"/>
      <c r="K3" s="1358"/>
      <c r="L3" s="1358"/>
      <c r="M3" s="1358"/>
      <c r="N3" s="1358"/>
      <c r="O3" s="1358"/>
      <c r="P3" s="1358"/>
      <c r="Q3" s="1358"/>
      <c r="R3" s="1358"/>
      <c r="S3" s="1358"/>
      <c r="T3" s="1358"/>
      <c r="U3" s="1358"/>
      <c r="V3" s="1358"/>
      <c r="W3" s="1358"/>
      <c r="X3" s="1358"/>
      <c r="Y3" s="1358"/>
      <c r="Z3" s="1358"/>
      <c r="AA3" s="1358"/>
      <c r="AB3" s="1358"/>
      <c r="AC3" s="1358"/>
      <c r="AD3" s="194"/>
      <c r="AE3" s="194"/>
      <c r="AF3" s="194"/>
      <c r="AG3" s="194"/>
    </row>
    <row r="4" spans="2:34" x14ac:dyDescent="0.25">
      <c r="B4" s="1358"/>
      <c r="C4" s="1358"/>
      <c r="D4" s="1358"/>
      <c r="E4" s="1358"/>
      <c r="F4" s="1358"/>
      <c r="G4" s="1358"/>
      <c r="H4" s="1358"/>
      <c r="I4" s="1358"/>
      <c r="J4" s="1358"/>
      <c r="K4" s="1358"/>
      <c r="L4" s="1358"/>
      <c r="M4" s="1358"/>
      <c r="N4" s="1358"/>
      <c r="O4" s="1358"/>
      <c r="P4" s="1358"/>
      <c r="Q4" s="1358"/>
      <c r="R4" s="1358"/>
      <c r="S4" s="1358"/>
      <c r="T4" s="1358"/>
      <c r="U4" s="1358"/>
      <c r="V4" s="1358"/>
      <c r="W4" s="1358"/>
      <c r="X4" s="1358"/>
      <c r="Y4" s="1358"/>
      <c r="Z4" s="1358"/>
      <c r="AA4" s="1358"/>
      <c r="AB4" s="1358"/>
      <c r="AC4" s="1358"/>
      <c r="AD4" s="194"/>
      <c r="AE4" s="194"/>
      <c r="AF4" s="194"/>
      <c r="AG4" s="194"/>
    </row>
    <row r="5" spans="2:34" x14ac:dyDescent="0.25">
      <c r="B5" s="1358"/>
      <c r="C5" s="1358"/>
      <c r="D5" s="1358"/>
      <c r="E5" s="1358"/>
      <c r="F5" s="1358"/>
      <c r="G5" s="1358"/>
      <c r="H5" s="1358"/>
      <c r="I5" s="1358"/>
      <c r="J5" s="1358"/>
      <c r="K5" s="1358"/>
      <c r="L5" s="1358"/>
      <c r="M5" s="1358"/>
      <c r="N5" s="1358"/>
      <c r="O5" s="1358"/>
      <c r="P5" s="1358"/>
      <c r="Q5" s="1358"/>
      <c r="R5" s="1358"/>
      <c r="S5" s="1358"/>
      <c r="T5" s="1358"/>
      <c r="U5" s="1358"/>
      <c r="V5" s="1358"/>
      <c r="W5" s="1358"/>
      <c r="X5" s="1358"/>
      <c r="Y5" s="1358"/>
      <c r="Z5" s="1358"/>
      <c r="AA5" s="1358"/>
      <c r="AB5" s="1358"/>
      <c r="AC5" s="1358"/>
      <c r="AD5" s="194"/>
      <c r="AE5" s="194"/>
      <c r="AF5" s="194"/>
      <c r="AG5" s="194"/>
    </row>
    <row r="6" spans="2:34" ht="38.85" customHeight="1" x14ac:dyDescent="0.25">
      <c r="B6" s="1358"/>
      <c r="C6" s="1358"/>
      <c r="D6" s="1358"/>
      <c r="E6" s="1358"/>
      <c r="F6" s="1358"/>
      <c r="G6" s="1358"/>
      <c r="H6" s="1358"/>
      <c r="I6" s="1358"/>
      <c r="J6" s="1358"/>
      <c r="K6" s="1358"/>
      <c r="L6" s="1358"/>
      <c r="M6" s="1358"/>
      <c r="N6" s="1358"/>
      <c r="O6" s="1358"/>
      <c r="P6" s="1358"/>
      <c r="Q6" s="1358"/>
      <c r="R6" s="1358"/>
      <c r="S6" s="1358"/>
      <c r="T6" s="1358"/>
      <c r="U6" s="1358"/>
      <c r="V6" s="1358"/>
      <c r="W6" s="1358"/>
      <c r="X6" s="1358"/>
      <c r="Y6" s="1358"/>
      <c r="Z6" s="1358"/>
      <c r="AA6" s="1358"/>
      <c r="AB6" s="1358"/>
      <c r="AC6" s="1358"/>
      <c r="AD6" s="194"/>
      <c r="AE6" s="194"/>
      <c r="AF6" s="194"/>
      <c r="AG6" s="194"/>
    </row>
    <row r="7" spans="2:34" x14ac:dyDescent="0.25">
      <c r="B7" s="247"/>
      <c r="C7" s="247"/>
      <c r="D7" s="247"/>
      <c r="E7" s="247"/>
      <c r="F7" s="247"/>
      <c r="G7" s="247"/>
      <c r="H7" s="248"/>
      <c r="I7" s="248"/>
      <c r="J7" s="248"/>
      <c r="K7" s="248"/>
      <c r="L7" s="248"/>
      <c r="M7" s="248"/>
      <c r="N7" s="248"/>
      <c r="O7" s="248"/>
      <c r="P7" s="248"/>
      <c r="Q7" s="248"/>
      <c r="R7" s="248"/>
      <c r="S7" s="248"/>
      <c r="T7" s="248"/>
      <c r="U7" s="248"/>
      <c r="V7" s="248"/>
    </row>
    <row r="8" spans="2:34" ht="14.85" customHeight="1" x14ac:dyDescent="0.25">
      <c r="B8" s="1362" t="s">
        <v>279</v>
      </c>
      <c r="C8" s="1363"/>
      <c r="D8" s="1366" t="s">
        <v>280</v>
      </c>
      <c r="E8" s="1379"/>
      <c r="F8" s="1379"/>
      <c r="G8" s="1379"/>
      <c r="H8" s="1379"/>
      <c r="I8" s="1379"/>
      <c r="J8" s="1379"/>
      <c r="K8" s="1379"/>
      <c r="L8" s="1379"/>
      <c r="M8" s="1379"/>
      <c r="N8" s="1379"/>
      <c r="O8" s="1379"/>
      <c r="P8" s="1379"/>
      <c r="Q8" s="1379"/>
      <c r="R8" s="1379"/>
      <c r="S8" s="1379"/>
      <c r="T8" s="1379"/>
      <c r="U8" s="1380"/>
      <c r="V8" s="1365"/>
      <c r="W8" s="1375" t="s">
        <v>281</v>
      </c>
      <c r="X8" s="1376"/>
      <c r="Y8" s="1377"/>
      <c r="Z8" s="1377"/>
      <c r="AA8" s="1377"/>
      <c r="AB8" s="1377"/>
      <c r="AC8" s="1376"/>
      <c r="AD8" s="1378"/>
      <c r="AE8" s="220"/>
      <c r="AF8" s="220"/>
      <c r="AG8" s="220"/>
    </row>
    <row r="9" spans="2:34" ht="12.75" customHeight="1" x14ac:dyDescent="0.25">
      <c r="B9" s="1364"/>
      <c r="C9" s="1365"/>
      <c r="D9" s="195">
        <v>2018</v>
      </c>
      <c r="E9" s="1359">
        <v>2019</v>
      </c>
      <c r="F9" s="1360"/>
      <c r="G9" s="1360"/>
      <c r="H9" s="1361"/>
      <c r="I9" s="1359">
        <v>2020</v>
      </c>
      <c r="J9" s="1360"/>
      <c r="K9" s="1360"/>
      <c r="L9" s="1361"/>
      <c r="M9" s="1371">
        <v>2021</v>
      </c>
      <c r="N9" s="1372"/>
      <c r="O9" s="1372"/>
      <c r="P9" s="1373"/>
      <c r="Q9" s="1374">
        <v>2022</v>
      </c>
      <c r="R9" s="1374"/>
      <c r="S9" s="243"/>
      <c r="T9" s="270"/>
      <c r="U9" s="221"/>
      <c r="V9" s="270">
        <v>2023</v>
      </c>
      <c r="W9" s="272"/>
      <c r="X9" s="242"/>
      <c r="Y9" s="1368">
        <v>2024</v>
      </c>
      <c r="Z9" s="1369"/>
      <c r="AA9" s="1369"/>
      <c r="AB9" s="1370"/>
      <c r="AC9" s="1368">
        <v>2025</v>
      </c>
      <c r="AD9" s="1369"/>
      <c r="AE9" s="1369"/>
      <c r="AF9" s="1370"/>
      <c r="AG9" s="233">
        <v>2026</v>
      </c>
    </row>
    <row r="10" spans="2:34" ht="14.85" customHeight="1" x14ac:dyDescent="0.25">
      <c r="B10" s="1366"/>
      <c r="C10" s="1367"/>
      <c r="D10" s="195" t="s">
        <v>282</v>
      </c>
      <c r="E10" s="195" t="s">
        <v>283</v>
      </c>
      <c r="F10" s="196" t="s">
        <v>284</v>
      </c>
      <c r="G10" s="196" t="s">
        <v>238</v>
      </c>
      <c r="H10" s="197" t="s">
        <v>282</v>
      </c>
      <c r="I10" s="196" t="s">
        <v>283</v>
      </c>
      <c r="J10" s="196" t="s">
        <v>284</v>
      </c>
      <c r="K10" s="196" t="s">
        <v>238</v>
      </c>
      <c r="L10" s="196" t="s">
        <v>282</v>
      </c>
      <c r="M10" s="267" t="s">
        <v>283</v>
      </c>
      <c r="N10" s="268" t="s">
        <v>284</v>
      </c>
      <c r="O10" s="268" t="s">
        <v>238</v>
      </c>
      <c r="P10" s="266" t="s">
        <v>282</v>
      </c>
      <c r="Q10" s="196" t="s">
        <v>283</v>
      </c>
      <c r="R10" s="196" t="s">
        <v>284</v>
      </c>
      <c r="S10" s="196" t="s">
        <v>238</v>
      </c>
      <c r="T10" s="196" t="s">
        <v>282</v>
      </c>
      <c r="U10" s="267" t="s">
        <v>283</v>
      </c>
      <c r="V10" s="268" t="s">
        <v>284</v>
      </c>
      <c r="W10" s="252" t="s">
        <v>238</v>
      </c>
      <c r="X10" s="253" t="s">
        <v>282</v>
      </c>
      <c r="Y10" s="251" t="s">
        <v>283</v>
      </c>
      <c r="Z10" s="249" t="s">
        <v>284</v>
      </c>
      <c r="AA10" s="252" t="s">
        <v>238</v>
      </c>
      <c r="AB10" s="253" t="s">
        <v>282</v>
      </c>
      <c r="AC10" s="251" t="s">
        <v>283</v>
      </c>
      <c r="AD10" s="249" t="s">
        <v>284</v>
      </c>
      <c r="AE10" s="252" t="s">
        <v>238</v>
      </c>
      <c r="AF10" s="253" t="s">
        <v>282</v>
      </c>
      <c r="AG10" s="254" t="s">
        <v>283</v>
      </c>
    </row>
    <row r="11" spans="2:34" x14ac:dyDescent="0.25">
      <c r="B11" s="232" t="s">
        <v>102</v>
      </c>
      <c r="C11" s="255" t="s">
        <v>285</v>
      </c>
      <c r="D11" s="235">
        <f>'Haver Pivoted'!GO14</f>
        <v>27.1</v>
      </c>
      <c r="E11" s="269">
        <f>'Haver Pivoted'!GP14</f>
        <v>30.5</v>
      </c>
      <c r="F11" s="269">
        <f>'Haver Pivoted'!GQ14</f>
        <v>27.7</v>
      </c>
      <c r="G11" s="269">
        <f>'Haver Pivoted'!GR14</f>
        <v>25</v>
      </c>
      <c r="H11" s="269">
        <f>'Haver Pivoted'!GS14</f>
        <v>26.7</v>
      </c>
      <c r="I11" s="269">
        <f>'Haver Pivoted'!GT14</f>
        <v>40.9</v>
      </c>
      <c r="J11" s="269">
        <f>'Haver Pivoted'!GU14</f>
        <v>951.4</v>
      </c>
      <c r="K11" s="269">
        <f>'Haver Pivoted'!GV14</f>
        <v>802.3</v>
      </c>
      <c r="L11" s="269">
        <f>'Haver Pivoted'!GW14</f>
        <v>323.5</v>
      </c>
      <c r="M11" s="269">
        <f>'Haver Pivoted'!GX14</f>
        <v>583.5</v>
      </c>
      <c r="N11" s="269">
        <f>'Haver Pivoted'!GY14</f>
        <v>451.8</v>
      </c>
      <c r="O11" s="269">
        <f>'Haver Pivoted'!GZ14</f>
        <v>226.8</v>
      </c>
      <c r="P11" s="269">
        <f>'Haver Pivoted'!HA14</f>
        <v>33.9</v>
      </c>
      <c r="Q11" s="216">
        <f>'Haver Pivoted'!HB14</f>
        <v>26.2</v>
      </c>
      <c r="R11" s="216">
        <f>'Haver Pivoted'!HC14</f>
        <v>21.4</v>
      </c>
      <c r="S11" s="196">
        <f>'Haver Pivoted'!HD14</f>
        <v>19.600000000000001</v>
      </c>
      <c r="T11" s="196">
        <f>'Haver Pivoted'!HE14</f>
        <v>22.1</v>
      </c>
      <c r="U11" s="196">
        <f>'Haver Pivoted'!HF14</f>
        <v>22</v>
      </c>
      <c r="V11" s="196">
        <f>'Haver Pivoted'!HG14</f>
        <v>22.3</v>
      </c>
      <c r="W11" s="196">
        <f>'Haver Pivoted'!HH14</f>
        <v>21</v>
      </c>
      <c r="X11" s="196">
        <f>'Haver Pivoted'!HI14</f>
        <v>22.7</v>
      </c>
      <c r="Y11" s="260">
        <f t="shared" ref="Y11:AD11" si="0">Y12+Y13+Y20</f>
        <v>23.25714285714286</v>
      </c>
      <c r="Z11" s="260">
        <f t="shared" si="0"/>
        <v>24.514285714285716</v>
      </c>
      <c r="AA11" s="260">
        <f t="shared" si="0"/>
        <v>24.985714285714291</v>
      </c>
      <c r="AB11" s="271">
        <f t="shared" si="0"/>
        <v>25.83428571428572</v>
      </c>
      <c r="AC11" s="218">
        <f>AC12+AC13+AC20</f>
        <v>26.689142857142865</v>
      </c>
      <c r="AD11" s="218">
        <f t="shared" si="0"/>
        <v>27.474857142857154</v>
      </c>
      <c r="AE11" s="218"/>
      <c r="AF11" s="218"/>
      <c r="AG11" s="218"/>
      <c r="AH11" s="222" t="s">
        <v>286</v>
      </c>
    </row>
    <row r="12" spans="2:34" x14ac:dyDescent="0.25">
      <c r="B12" s="246" t="s">
        <v>287</v>
      </c>
      <c r="C12" s="236" t="s">
        <v>288</v>
      </c>
      <c r="D12" s="257">
        <f>'Haver Pivoted'!GO63</f>
        <v>0</v>
      </c>
      <c r="E12" s="216">
        <f>'Haver Pivoted'!GP63</f>
        <v>0</v>
      </c>
      <c r="F12" s="216">
        <f>'Haver Pivoted'!GQ63</f>
        <v>0</v>
      </c>
      <c r="G12" s="216">
        <f>'Haver Pivoted'!GR63</f>
        <v>0</v>
      </c>
      <c r="H12" s="216">
        <f>'Haver Pivoted'!GS63</f>
        <v>0</v>
      </c>
      <c r="I12" s="216">
        <f>'Haver Pivoted'!GT63</f>
        <v>0</v>
      </c>
      <c r="J12" s="216">
        <f>'Haver Pivoted'!GU63</f>
        <v>0.1</v>
      </c>
      <c r="K12" s="216">
        <f>'Haver Pivoted'!GV63</f>
        <v>3.7</v>
      </c>
      <c r="L12" s="216">
        <f>'Haver Pivoted'!GW63</f>
        <v>12.9</v>
      </c>
      <c r="M12" s="216">
        <f>'Haver Pivoted'!GX63</f>
        <v>25.5</v>
      </c>
      <c r="N12" s="216">
        <f>'Haver Pivoted'!GY63</f>
        <v>3.8</v>
      </c>
      <c r="O12" s="216">
        <f>'Haver Pivoted'!GZ63</f>
        <v>1.8</v>
      </c>
      <c r="P12" s="216">
        <f>'Haver Pivoted'!HA63</f>
        <v>0.6</v>
      </c>
      <c r="Q12" s="216">
        <f>'Haver Pivoted'!HB63</f>
        <v>0.2</v>
      </c>
      <c r="R12" s="216">
        <f>'Haver Pivoted'!HC63</f>
        <v>0.1</v>
      </c>
      <c r="S12" s="196">
        <f>'Haver Pivoted'!HD63</f>
        <v>0</v>
      </c>
      <c r="T12" s="196">
        <f>'Haver Pivoted'!HE63</f>
        <v>0</v>
      </c>
      <c r="U12" s="196">
        <f>'Haver Pivoted'!HF63</f>
        <v>0</v>
      </c>
      <c r="V12" s="196">
        <f>'Haver Pivoted'!HG63</f>
        <v>0</v>
      </c>
      <c r="W12" s="196">
        <f>'Haver Pivoted'!HH63</f>
        <v>0</v>
      </c>
      <c r="X12" s="196">
        <f>'Haver Pivoted'!HI63</f>
        <v>0</v>
      </c>
      <c r="Y12" s="218">
        <f t="shared" ref="Y12:AD12" si="1">X12*Y23/X23</f>
        <v>0</v>
      </c>
      <c r="Z12" s="218">
        <f t="shared" si="1"/>
        <v>0</v>
      </c>
      <c r="AA12" s="218">
        <f t="shared" si="1"/>
        <v>0</v>
      </c>
      <c r="AB12" s="218">
        <f t="shared" si="1"/>
        <v>0</v>
      </c>
      <c r="AC12" s="218">
        <f t="shared" si="1"/>
        <v>0</v>
      </c>
      <c r="AD12" s="218">
        <f t="shared" si="1"/>
        <v>0</v>
      </c>
      <c r="AE12" s="218"/>
      <c r="AF12" s="218"/>
      <c r="AG12" s="218"/>
    </row>
    <row r="13" spans="2:34" x14ac:dyDescent="0.25">
      <c r="B13" s="246" t="s">
        <v>289</v>
      </c>
      <c r="C13" s="236"/>
      <c r="D13" s="257"/>
      <c r="E13" s="216"/>
      <c r="F13" s="216"/>
      <c r="G13" s="216"/>
      <c r="H13" s="207">
        <f>SUM(H14:H17)</f>
        <v>0</v>
      </c>
      <c r="I13" s="207">
        <f t="shared" ref="I13:M13" si="2">SUM(I14:I17)</f>
        <v>0</v>
      </c>
      <c r="J13" s="207">
        <f t="shared" si="2"/>
        <v>779.7</v>
      </c>
      <c r="K13" s="207">
        <f t="shared" si="2"/>
        <v>582.6</v>
      </c>
      <c r="L13" s="207">
        <f t="shared" si="2"/>
        <v>216.5</v>
      </c>
      <c r="M13" s="207">
        <f t="shared" si="2"/>
        <v>497.6</v>
      </c>
      <c r="N13" s="212">
        <f>SUM(N14:N17)</f>
        <v>401.5</v>
      </c>
      <c r="O13" s="212">
        <f t="shared" ref="O13:AC13" si="3">SUM(O14:O17)</f>
        <v>207.4</v>
      </c>
      <c r="P13" s="212">
        <f t="shared" si="3"/>
        <v>5.5</v>
      </c>
      <c r="Q13" s="212">
        <v>0</v>
      </c>
      <c r="R13" s="212">
        <f t="shared" si="3"/>
        <v>1</v>
      </c>
      <c r="S13" s="212">
        <f t="shared" si="3"/>
        <v>0.5</v>
      </c>
      <c r="T13" s="212">
        <f t="shared" si="3"/>
        <v>0.30000000000000004</v>
      </c>
      <c r="U13" s="212">
        <f t="shared" si="3"/>
        <v>0</v>
      </c>
      <c r="V13" s="207">
        <f t="shared" si="3"/>
        <v>0</v>
      </c>
      <c r="W13" s="207">
        <f t="shared" si="3"/>
        <v>0</v>
      </c>
      <c r="X13" s="218">
        <f t="shared" si="3"/>
        <v>0</v>
      </c>
      <c r="Y13" s="218">
        <f t="shared" si="3"/>
        <v>0</v>
      </c>
      <c r="Z13" s="218">
        <f t="shared" si="3"/>
        <v>0</v>
      </c>
      <c r="AA13" s="218">
        <f t="shared" si="3"/>
        <v>0</v>
      </c>
      <c r="AB13" s="218">
        <f t="shared" si="3"/>
        <v>0</v>
      </c>
      <c r="AC13" s="218">
        <f t="shared" si="3"/>
        <v>0</v>
      </c>
      <c r="AD13" s="218">
        <f t="shared" ref="AD13" si="4">SUM(AD14:AD17)</f>
        <v>0</v>
      </c>
      <c r="AE13" s="218"/>
      <c r="AF13" s="218"/>
      <c r="AG13" s="218"/>
    </row>
    <row r="14" spans="2:34" ht="18" customHeight="1" x14ac:dyDescent="0.25">
      <c r="B14" s="228" t="s">
        <v>290</v>
      </c>
      <c r="C14" s="229" t="s">
        <v>288</v>
      </c>
      <c r="D14" s="25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217">
        <f>'Haver Pivoted'!HD63</f>
        <v>0</v>
      </c>
      <c r="T14" s="217">
        <f>'Haver Pivoted'!HE63</f>
        <v>0</v>
      </c>
      <c r="U14" s="217">
        <f>'Haver Pivoted'!HF63</f>
        <v>0</v>
      </c>
      <c r="V14" s="217">
        <f>'Haver Pivoted'!HG63</f>
        <v>0</v>
      </c>
      <c r="W14" s="217">
        <f>'Haver Pivoted'!HH63</f>
        <v>0</v>
      </c>
      <c r="X14" s="217">
        <f>'Haver Pivoted'!HI63</f>
        <v>0</v>
      </c>
      <c r="Y14" s="218">
        <f>Y12</f>
        <v>0</v>
      </c>
      <c r="Z14" s="218">
        <f t="shared" ref="Z14:AC14" si="5">Z12</f>
        <v>0</v>
      </c>
      <c r="AA14" s="218">
        <f t="shared" si="5"/>
        <v>0</v>
      </c>
      <c r="AB14" s="218">
        <f t="shared" si="5"/>
        <v>0</v>
      </c>
      <c r="AC14" s="218">
        <f t="shared" si="5"/>
        <v>0</v>
      </c>
      <c r="AD14" s="218">
        <f t="shared" ref="AD14" si="6">AD12</f>
        <v>0</v>
      </c>
      <c r="AE14" s="218"/>
      <c r="AF14" s="218"/>
      <c r="AG14" s="218"/>
    </row>
    <row r="15" spans="2:34" ht="18" customHeight="1" x14ac:dyDescent="0.25">
      <c r="B15" s="228" t="s">
        <v>291</v>
      </c>
      <c r="C15" s="229" t="s">
        <v>292</v>
      </c>
      <c r="D15" s="25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217">
        <f>'Haver Pivoted'!HD59</f>
        <v>0.3</v>
      </c>
      <c r="T15" s="217">
        <f>'Haver Pivoted'!HE59</f>
        <v>0.2</v>
      </c>
      <c r="U15" s="217">
        <f>'Haver Pivoted'!HF59</f>
        <v>0</v>
      </c>
      <c r="V15" s="217">
        <f>'Haver Pivoted'!HG59</f>
        <v>0</v>
      </c>
      <c r="W15" s="217">
        <f>'Haver Pivoted'!HH59</f>
        <v>0</v>
      </c>
      <c r="X15" s="217">
        <f>'Haver Pivoted'!HI59</f>
        <v>0</v>
      </c>
      <c r="Y15" s="218">
        <f t="shared" ref="Y15:AD17" si="7">X15*Y$23/X$23</f>
        <v>0</v>
      </c>
      <c r="Z15" s="218">
        <f t="shared" si="7"/>
        <v>0</v>
      </c>
      <c r="AA15" s="218">
        <f t="shared" si="7"/>
        <v>0</v>
      </c>
      <c r="AB15" s="218">
        <f t="shared" si="7"/>
        <v>0</v>
      </c>
      <c r="AC15" s="218">
        <f t="shared" si="7"/>
        <v>0</v>
      </c>
      <c r="AD15" s="218">
        <f t="shared" si="7"/>
        <v>0</v>
      </c>
      <c r="AE15" s="218"/>
      <c r="AF15" s="218"/>
      <c r="AG15" s="218"/>
    </row>
    <row r="16" spans="2:34" ht="18" customHeight="1" x14ac:dyDescent="0.25">
      <c r="B16" s="228" t="s">
        <v>293</v>
      </c>
      <c r="C16" s="229" t="s">
        <v>294</v>
      </c>
      <c r="D16" s="25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217">
        <f>'Haver Pivoted'!HD60</f>
        <v>0.2</v>
      </c>
      <c r="T16" s="217">
        <f>'Haver Pivoted'!HE60</f>
        <v>0.1</v>
      </c>
      <c r="U16" s="217">
        <f>'Haver Pivoted'!HF60</f>
        <v>0</v>
      </c>
      <c r="V16" s="217">
        <f>'Haver Pivoted'!HG60</f>
        <v>0</v>
      </c>
      <c r="W16" s="217">
        <f>'Haver Pivoted'!HH60</f>
        <v>0</v>
      </c>
      <c r="X16" s="217">
        <f>'Haver Pivoted'!HI60</f>
        <v>0</v>
      </c>
      <c r="Y16" s="218">
        <f t="shared" si="7"/>
        <v>0</v>
      </c>
      <c r="Z16" s="218">
        <f t="shared" si="7"/>
        <v>0</v>
      </c>
      <c r="AA16" s="218">
        <f t="shared" si="7"/>
        <v>0</v>
      </c>
      <c r="AB16" s="218">
        <f t="shared" si="7"/>
        <v>0</v>
      </c>
      <c r="AC16" s="218">
        <f t="shared" si="7"/>
        <v>0</v>
      </c>
      <c r="AD16" s="218">
        <f t="shared" si="7"/>
        <v>0</v>
      </c>
      <c r="AE16" s="218"/>
      <c r="AF16" s="218"/>
      <c r="AG16" s="218"/>
    </row>
    <row r="17" spans="2:36" ht="18" customHeight="1" x14ac:dyDescent="0.25">
      <c r="B17" s="228" t="s">
        <v>295</v>
      </c>
      <c r="C17" s="229" t="s">
        <v>296</v>
      </c>
      <c r="D17" s="25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217">
        <f>'Haver Pivoted'!HD61</f>
        <v>0</v>
      </c>
      <c r="T17" s="217">
        <f>'Haver Pivoted'!HE61</f>
        <v>0</v>
      </c>
      <c r="U17" s="217">
        <f>'Haver Pivoted'!HF61</f>
        <v>0</v>
      </c>
      <c r="V17" s="217">
        <f>'Haver Pivoted'!HG61</f>
        <v>0</v>
      </c>
      <c r="W17" s="217">
        <f>'Haver Pivoted'!HH61</f>
        <v>0</v>
      </c>
      <c r="X17" s="217">
        <f>'Haver Pivoted'!HI61</f>
        <v>0</v>
      </c>
      <c r="Y17" s="218">
        <f t="shared" si="7"/>
        <v>0</v>
      </c>
      <c r="Z17" s="218">
        <f t="shared" si="7"/>
        <v>0</v>
      </c>
      <c r="AA17" s="218">
        <f t="shared" si="7"/>
        <v>0</v>
      </c>
      <c r="AB17" s="218">
        <f t="shared" si="7"/>
        <v>0</v>
      </c>
      <c r="AC17" s="218">
        <f t="shared" si="7"/>
        <v>0</v>
      </c>
      <c r="AD17" s="218">
        <f t="shared" si="7"/>
        <v>0</v>
      </c>
      <c r="AE17" s="218"/>
      <c r="AF17" s="218"/>
      <c r="AG17" s="218"/>
    </row>
    <row r="18" spans="2:36" x14ac:dyDescent="0.25">
      <c r="B18" s="230" t="s">
        <v>158</v>
      </c>
      <c r="C18" s="222" t="s">
        <v>297</v>
      </c>
      <c r="D18" s="257">
        <f>'Haver Pivoted'!GO64</f>
        <v>0</v>
      </c>
      <c r="E18" s="216">
        <f>'Haver Pivoted'!GP64</f>
        <v>0</v>
      </c>
      <c r="F18" s="216">
        <f>'Haver Pivoted'!GQ64</f>
        <v>0</v>
      </c>
      <c r="G18" s="216">
        <f>'Haver Pivoted'!GR64</f>
        <v>0</v>
      </c>
      <c r="H18" s="216">
        <f>'Haver Pivoted'!GS64</f>
        <v>0</v>
      </c>
      <c r="I18" s="216">
        <f>'Haver Pivoted'!GT64</f>
        <v>0</v>
      </c>
      <c r="J18" s="216">
        <f>'Haver Pivoted'!GU64</f>
        <v>0</v>
      </c>
      <c r="K18" s="216">
        <f>'Haver Pivoted'!GV64</f>
        <v>106.2</v>
      </c>
      <c r="L18" s="216">
        <f>'Haver Pivoted'!GW64</f>
        <v>35.9</v>
      </c>
      <c r="M18" s="216">
        <f>'Haver Pivoted'!GX64</f>
        <v>1.6</v>
      </c>
      <c r="N18" s="216">
        <f>'Haver Pivoted'!GY64</f>
        <v>0.6</v>
      </c>
      <c r="O18" s="216">
        <f>'Haver Pivoted'!GZ64</f>
        <v>0.1</v>
      </c>
      <c r="P18" s="216">
        <f>'Haver Pivoted'!HA64</f>
        <v>0</v>
      </c>
      <c r="Q18" s="211">
        <f>'Haver Pivoted'!HB64</f>
        <v>0</v>
      </c>
      <c r="R18" s="211">
        <f>'Haver Pivoted'!HC64</f>
        <v>0</v>
      </c>
      <c r="S18" s="217">
        <f>'Haver Pivoted'!HD64</f>
        <v>0</v>
      </c>
      <c r="T18" s="217">
        <f>'Haver Pivoted'!HE64</f>
        <v>0</v>
      </c>
      <c r="U18" s="217">
        <f>'Haver Pivoted'!HF64</f>
        <v>0</v>
      </c>
      <c r="V18" s="217">
        <f>'Haver Pivoted'!HG64</f>
        <v>0</v>
      </c>
      <c r="W18" s="217">
        <f>'Haver Pivoted'!HH64</f>
        <v>0</v>
      </c>
      <c r="X18" s="217">
        <f>'Haver Pivoted'!HI64</f>
        <v>0</v>
      </c>
      <c r="Y18" s="218"/>
      <c r="Z18" s="218"/>
      <c r="AA18" s="218"/>
      <c r="AB18" s="218"/>
      <c r="AC18" s="218"/>
      <c r="AD18" s="218"/>
      <c r="AE18" s="218"/>
      <c r="AF18" s="218"/>
      <c r="AG18" s="218"/>
    </row>
    <row r="19" spans="2:36" ht="14.85" customHeight="1" x14ac:dyDescent="0.25">
      <c r="B19" s="250" t="s">
        <v>298</v>
      </c>
      <c r="C19" s="237"/>
      <c r="D19" s="244">
        <f t="shared" ref="D19:N19" si="8">D11-D20</f>
        <v>0</v>
      </c>
      <c r="E19" s="209">
        <f t="shared" si="8"/>
        <v>0</v>
      </c>
      <c r="F19" s="209">
        <f t="shared" si="8"/>
        <v>0</v>
      </c>
      <c r="G19" s="209">
        <f t="shared" si="8"/>
        <v>0</v>
      </c>
      <c r="H19" s="209">
        <f t="shared" si="8"/>
        <v>0</v>
      </c>
      <c r="I19" s="209">
        <f t="shared" si="8"/>
        <v>0</v>
      </c>
      <c r="J19" s="209">
        <f t="shared" si="8"/>
        <v>779.80000000000007</v>
      </c>
      <c r="K19" s="209">
        <f t="shared" si="8"/>
        <v>586.29999999999995</v>
      </c>
      <c r="L19" s="209">
        <f t="shared" si="8"/>
        <v>229.4</v>
      </c>
      <c r="M19" s="209">
        <f t="shared" si="8"/>
        <v>523.1</v>
      </c>
      <c r="N19" s="210">
        <f t="shared" si="8"/>
        <v>405.3</v>
      </c>
      <c r="O19" s="210">
        <f>O11-O20</f>
        <v>209.20000000000002</v>
      </c>
      <c r="P19" s="210">
        <f t="shared" ref="P19" si="9">P11-P20</f>
        <v>6.1000000000000014</v>
      </c>
      <c r="Q19" s="210">
        <f>Q11-Q20</f>
        <v>0.19999999999999929</v>
      </c>
      <c r="R19" s="210">
        <f>R11-R20</f>
        <v>1.1000000000000014</v>
      </c>
      <c r="S19" s="210">
        <f>S11-S20</f>
        <v>0.5</v>
      </c>
      <c r="T19" s="210">
        <f>T11-T20</f>
        <v>0.30000000000000071</v>
      </c>
      <c r="U19" s="210">
        <f>U11-U20</f>
        <v>0</v>
      </c>
      <c r="V19" s="209">
        <v>0</v>
      </c>
      <c r="W19" s="209">
        <v>0</v>
      </c>
      <c r="X19" s="219">
        <f>X11-X20</f>
        <v>0.28514285714285847</v>
      </c>
      <c r="Y19" s="219">
        <f t="shared" ref="Y19:AC19" si="10">Y11-Y20</f>
        <v>0</v>
      </c>
      <c r="Z19" s="219">
        <f t="shared" si="10"/>
        <v>0</v>
      </c>
      <c r="AA19" s="219">
        <f t="shared" si="10"/>
        <v>0</v>
      </c>
      <c r="AB19" s="219">
        <f t="shared" si="10"/>
        <v>0</v>
      </c>
      <c r="AC19" s="219">
        <f t="shared" si="10"/>
        <v>0</v>
      </c>
      <c r="AD19" s="219">
        <f t="shared" ref="AD19" si="11">AD11-AD20</f>
        <v>0</v>
      </c>
      <c r="AE19" s="219"/>
      <c r="AF19" s="219"/>
      <c r="AG19" s="219"/>
    </row>
    <row r="20" spans="2:36" ht="14.85" customHeight="1" x14ac:dyDescent="0.25">
      <c r="B20" s="250" t="s">
        <v>299</v>
      </c>
      <c r="C20" s="237"/>
      <c r="D20" s="244">
        <f t="shared" ref="D20:H20" si="12">D11</f>
        <v>27.1</v>
      </c>
      <c r="E20" s="209">
        <f t="shared" si="12"/>
        <v>30.5</v>
      </c>
      <c r="F20" s="209">
        <f t="shared" si="12"/>
        <v>27.7</v>
      </c>
      <c r="G20" s="209">
        <f t="shared" si="12"/>
        <v>25</v>
      </c>
      <c r="H20" s="209">
        <f t="shared" si="12"/>
        <v>26.7</v>
      </c>
      <c r="I20" s="209">
        <f>I11</f>
        <v>40.9</v>
      </c>
      <c r="J20" s="209">
        <f>J11-J13-J12</f>
        <v>171.59999999999994</v>
      </c>
      <c r="K20" s="209">
        <f>K11-K13-K12</f>
        <v>215.99999999999994</v>
      </c>
      <c r="L20" s="209">
        <f>L11-L13-L12</f>
        <v>94.1</v>
      </c>
      <c r="M20" s="209">
        <f>M11-M13-M12</f>
        <v>60.399999999999977</v>
      </c>
      <c r="N20" s="210">
        <f t="shared" ref="N20:U20" si="13">N11-N12-N13</f>
        <v>46.5</v>
      </c>
      <c r="O20" s="210">
        <f t="shared" si="13"/>
        <v>17.599999999999994</v>
      </c>
      <c r="P20" s="210">
        <f t="shared" si="13"/>
        <v>27.799999999999997</v>
      </c>
      <c r="Q20" s="211">
        <f t="shared" si="13"/>
        <v>26</v>
      </c>
      <c r="R20" s="211">
        <f t="shared" si="13"/>
        <v>20.299999999999997</v>
      </c>
      <c r="S20" s="211">
        <f t="shared" si="13"/>
        <v>19.100000000000001</v>
      </c>
      <c r="T20" s="211">
        <f t="shared" si="13"/>
        <v>21.8</v>
      </c>
      <c r="U20" s="211">
        <f t="shared" si="13"/>
        <v>22</v>
      </c>
      <c r="V20" s="209">
        <f>U20*V23/U23</f>
        <v>22.62857142857143</v>
      </c>
      <c r="W20" s="209">
        <f>V20*W23/V23</f>
        <v>22.62857142857143</v>
      </c>
      <c r="X20" s="219">
        <f t="shared" ref="X20:AC20" si="14">W20*X23/W23</f>
        <v>22.414857142857141</v>
      </c>
      <c r="Y20" s="219">
        <f t="shared" si="14"/>
        <v>23.25714285714286</v>
      </c>
      <c r="Z20" s="219">
        <f t="shared" si="14"/>
        <v>24.514285714285716</v>
      </c>
      <c r="AA20" s="219">
        <f t="shared" si="14"/>
        <v>24.985714285714291</v>
      </c>
      <c r="AB20" s="219">
        <f t="shared" si="14"/>
        <v>25.83428571428572</v>
      </c>
      <c r="AC20" s="219">
        <f t="shared" si="14"/>
        <v>26.689142857142865</v>
      </c>
      <c r="AD20" s="219">
        <f>AC20*AD23/AC23</f>
        <v>27.474857142857154</v>
      </c>
      <c r="AE20" s="219">
        <f t="shared" ref="AE20:AF20" si="15">AD20*AE23/AD23</f>
        <v>27.500000000000007</v>
      </c>
      <c r="AF20" s="219">
        <f t="shared" si="15"/>
        <v>27.368000000000006</v>
      </c>
      <c r="AG20" s="214"/>
      <c r="AH20" s="245" t="s">
        <v>300</v>
      </c>
    </row>
    <row r="21" spans="2:36" x14ac:dyDescent="0.25">
      <c r="B21" s="230"/>
      <c r="C21" s="231"/>
      <c r="D21" s="256"/>
      <c r="E21" s="211"/>
      <c r="F21" s="211"/>
      <c r="G21" s="211"/>
      <c r="H21" s="207"/>
      <c r="I21" s="207"/>
      <c r="J21" s="207"/>
      <c r="K21" s="207"/>
      <c r="L21" s="207"/>
      <c r="M21" s="207"/>
      <c r="N21" s="207"/>
      <c r="O21" s="207"/>
      <c r="P21" s="207"/>
      <c r="Q21" s="207"/>
      <c r="R21" s="207"/>
      <c r="S21" s="207"/>
      <c r="T21" s="234"/>
      <c r="U21" s="207"/>
      <c r="V21" s="207"/>
      <c r="W21" s="218"/>
      <c r="X21" s="218"/>
      <c r="Y21" s="218"/>
      <c r="Z21" s="218"/>
      <c r="AA21" s="218"/>
      <c r="AB21" s="218"/>
      <c r="AC21" s="218"/>
      <c r="AD21" s="218"/>
      <c r="AE21" s="218"/>
      <c r="AF21" s="218"/>
      <c r="AG21" s="213"/>
    </row>
    <row r="22" spans="2:36" x14ac:dyDescent="0.25">
      <c r="B22" s="273" t="s">
        <v>1944</v>
      </c>
      <c r="C22" s="231"/>
      <c r="D22" s="211"/>
      <c r="E22" s="211"/>
      <c r="F22" s="211"/>
      <c r="G22" s="211"/>
      <c r="H22" s="207"/>
      <c r="I22" s="207"/>
      <c r="J22" s="207"/>
      <c r="K22" s="207"/>
      <c r="L22" s="207"/>
      <c r="M22" s="207"/>
      <c r="N22" s="207"/>
      <c r="O22" s="207"/>
      <c r="P22" s="207"/>
      <c r="Q22" s="207"/>
      <c r="R22" s="207"/>
      <c r="S22" s="207"/>
      <c r="T22" s="234"/>
      <c r="U22" s="204"/>
      <c r="V22" s="204">
        <v>3.5659999999999998</v>
      </c>
      <c r="W22" s="203">
        <v>3.7</v>
      </c>
      <c r="X22" s="203">
        <v>3.9</v>
      </c>
      <c r="Y22" s="203">
        <v>3.9750000000000001</v>
      </c>
      <c r="Z22" s="203">
        <v>4.1100000000000003</v>
      </c>
      <c r="AA22" s="203">
        <v>4.2460000000000004</v>
      </c>
      <c r="AB22" s="203">
        <v>4.3710000000000004</v>
      </c>
      <c r="AC22" s="203">
        <v>4.4089999999999998</v>
      </c>
      <c r="AD22" s="203">
        <v>4.4029999999999996</v>
      </c>
      <c r="AE22" s="203">
        <v>4.375</v>
      </c>
      <c r="AF22" s="203">
        <v>4.3540000000000001</v>
      </c>
      <c r="AG22" s="215"/>
    </row>
    <row r="23" spans="2:36" x14ac:dyDescent="0.25">
      <c r="B23" s="230" t="s">
        <v>1839</v>
      </c>
      <c r="C23" s="222"/>
      <c r="D23" s="257"/>
      <c r="E23" s="216"/>
      <c r="F23" s="216"/>
      <c r="G23" s="216"/>
      <c r="H23" s="207"/>
      <c r="I23" s="207"/>
      <c r="J23" s="207"/>
      <c r="K23" s="207"/>
      <c r="L23" s="207"/>
      <c r="M23" s="207">
        <f t="shared" ref="M23:U23" si="16">GETPIVOTDATA("Monthly UR",$E$29,"Quarters",M24,"Years",M25)</f>
        <v>6.166666666666667</v>
      </c>
      <c r="N23" s="207">
        <f t="shared" si="16"/>
        <v>5.7666666666666657</v>
      </c>
      <c r="O23" s="207">
        <f t="shared" si="16"/>
        <v>5.1333333333333337</v>
      </c>
      <c r="P23" s="207">
        <f t="shared" si="16"/>
        <v>4.2333333333333334</v>
      </c>
      <c r="Q23" s="207">
        <f t="shared" si="16"/>
        <v>3.8000000000000003</v>
      </c>
      <c r="R23" s="207">
        <f t="shared" si="16"/>
        <v>3.6</v>
      </c>
      <c r="S23" s="207">
        <f t="shared" si="16"/>
        <v>3.5666666666666664</v>
      </c>
      <c r="T23" s="207">
        <f t="shared" si="16"/>
        <v>3.6</v>
      </c>
      <c r="U23" s="208">
        <f t="shared" si="16"/>
        <v>3.5</v>
      </c>
      <c r="V23" s="223">
        <v>3.6</v>
      </c>
      <c r="W23" s="223">
        <v>3.6</v>
      </c>
      <c r="X23" s="223">
        <f>V22</f>
        <v>3.5659999999999998</v>
      </c>
      <c r="Y23" s="223">
        <f t="shared" ref="Y23:AC23" si="17">W22</f>
        <v>3.7</v>
      </c>
      <c r="Z23" s="223">
        <f t="shared" si="17"/>
        <v>3.9</v>
      </c>
      <c r="AA23" s="223">
        <f t="shared" si="17"/>
        <v>3.9750000000000001</v>
      </c>
      <c r="AB23" s="223">
        <f t="shared" si="17"/>
        <v>4.1100000000000003</v>
      </c>
      <c r="AC23" s="223">
        <f t="shared" si="17"/>
        <v>4.2460000000000004</v>
      </c>
      <c r="AD23" s="223">
        <f>AB22</f>
        <v>4.3710000000000004</v>
      </c>
      <c r="AE23" s="223">
        <f>AE22</f>
        <v>4.375</v>
      </c>
      <c r="AF23" s="223">
        <f>AF22</f>
        <v>4.3540000000000001</v>
      </c>
      <c r="AG23" s="215"/>
      <c r="AH23" s="204" t="s">
        <v>301</v>
      </c>
    </row>
    <row r="24" spans="2:36" ht="15.75" customHeight="1" x14ac:dyDescent="0.25">
      <c r="B24" s="224" t="s">
        <v>1831</v>
      </c>
      <c r="C24" s="225"/>
      <c r="D24" s="226"/>
      <c r="E24" s="226"/>
      <c r="F24" s="226"/>
      <c r="G24" s="226"/>
      <c r="H24" s="226"/>
      <c r="I24" s="226"/>
      <c r="J24" s="226"/>
      <c r="K24" s="226"/>
      <c r="L24" s="226"/>
      <c r="M24" s="226">
        <v>1</v>
      </c>
      <c r="N24" s="226">
        <v>2</v>
      </c>
      <c r="O24" s="226">
        <v>3</v>
      </c>
      <c r="P24" s="226">
        <v>4</v>
      </c>
      <c r="Q24" s="226">
        <v>1</v>
      </c>
      <c r="R24" s="226">
        <v>2</v>
      </c>
      <c r="S24" s="226">
        <v>3</v>
      </c>
      <c r="T24" s="226">
        <v>4</v>
      </c>
      <c r="U24" s="226">
        <v>1</v>
      </c>
      <c r="V24" s="226">
        <v>2</v>
      </c>
      <c r="W24" s="226">
        <v>3</v>
      </c>
      <c r="X24" s="226">
        <v>4</v>
      </c>
      <c r="Y24" s="226">
        <v>1</v>
      </c>
      <c r="Z24" s="226">
        <v>2</v>
      </c>
      <c r="AA24" s="226">
        <v>3</v>
      </c>
      <c r="AB24" s="226">
        <v>4</v>
      </c>
      <c r="AC24" s="226">
        <v>1</v>
      </c>
      <c r="AD24" s="226">
        <v>2</v>
      </c>
      <c r="AE24" s="226">
        <v>3</v>
      </c>
      <c r="AF24" s="226">
        <v>4</v>
      </c>
      <c r="AG24" s="227">
        <v>1</v>
      </c>
      <c r="AH24" s="216"/>
      <c r="AI24" s="216"/>
      <c r="AJ24" s="216"/>
    </row>
    <row r="25" spans="2:36" x14ac:dyDescent="0.25">
      <c r="B25" s="238" t="s">
        <v>1832</v>
      </c>
      <c r="C25" s="239"/>
      <c r="D25" s="240"/>
      <c r="E25" s="240"/>
      <c r="F25" s="240"/>
      <c r="G25" s="240"/>
      <c r="H25" s="240"/>
      <c r="I25" s="240"/>
      <c r="J25" s="240"/>
      <c r="K25" s="240"/>
      <c r="L25" s="240"/>
      <c r="M25" s="240">
        <v>2021</v>
      </c>
      <c r="N25" s="240">
        <v>2021</v>
      </c>
      <c r="O25" s="240">
        <v>2021</v>
      </c>
      <c r="P25" s="240">
        <v>2021</v>
      </c>
      <c r="Q25" s="240">
        <v>2022</v>
      </c>
      <c r="R25" s="240">
        <v>2022</v>
      </c>
      <c r="S25" s="240">
        <v>2022</v>
      </c>
      <c r="T25" s="240">
        <v>2022</v>
      </c>
      <c r="U25" s="240">
        <v>2023</v>
      </c>
      <c r="V25" s="240">
        <v>2023</v>
      </c>
      <c r="W25" s="240">
        <v>2023</v>
      </c>
      <c r="X25" s="240">
        <v>2023</v>
      </c>
      <c r="Y25" s="240">
        <v>2024</v>
      </c>
      <c r="Z25" s="240">
        <v>2024</v>
      </c>
      <c r="AA25" s="240">
        <v>2024</v>
      </c>
      <c r="AB25" s="240">
        <v>2024</v>
      </c>
      <c r="AC25" s="240">
        <v>2025</v>
      </c>
      <c r="AD25" s="240">
        <v>2025</v>
      </c>
      <c r="AE25" s="240">
        <v>2025</v>
      </c>
      <c r="AF25" s="240">
        <v>2025</v>
      </c>
      <c r="AG25" s="241">
        <v>2026</v>
      </c>
      <c r="AH25" s="204"/>
    </row>
    <row r="26" spans="2:36" x14ac:dyDescent="0.25">
      <c r="B26" s="35"/>
      <c r="C26" s="222"/>
      <c r="D26" s="216"/>
      <c r="E26" s="216"/>
      <c r="F26" s="216"/>
      <c r="G26" s="216"/>
      <c r="H26" s="216"/>
      <c r="I26" s="216"/>
      <c r="J26" s="216"/>
      <c r="K26" s="216"/>
      <c r="L26" s="216"/>
      <c r="M26" s="216"/>
      <c r="N26" s="216"/>
      <c r="O26" s="216"/>
      <c r="P26" s="216"/>
      <c r="Q26" s="216"/>
      <c r="R26" s="216"/>
      <c r="S26" s="216"/>
      <c r="T26" s="216"/>
      <c r="U26" s="216"/>
      <c r="V26" s="216"/>
      <c r="W26" s="216"/>
      <c r="X26" s="216"/>
      <c r="Y26" s="216"/>
      <c r="Z26" s="216"/>
      <c r="AA26" s="216"/>
      <c r="AB26" s="216"/>
      <c r="AC26" s="216"/>
      <c r="AD26" s="216"/>
      <c r="AE26" s="216"/>
      <c r="AF26" s="216"/>
      <c r="AG26" s="216"/>
      <c r="AH26" s="204"/>
    </row>
    <row r="27" spans="2:36" x14ac:dyDescent="0.25">
      <c r="C27" s="222"/>
      <c r="D27" s="216"/>
      <c r="E27" s="216"/>
      <c r="F27" s="216"/>
      <c r="G27" s="216"/>
      <c r="H27" s="207"/>
      <c r="I27" s="207"/>
      <c r="J27" s="207"/>
      <c r="K27" s="207"/>
      <c r="L27" s="207"/>
      <c r="M27" s="207"/>
      <c r="N27" s="207"/>
      <c r="O27" s="207"/>
      <c r="P27" s="207"/>
      <c r="AH27" s="204"/>
    </row>
    <row r="28" spans="2:36" x14ac:dyDescent="0.25">
      <c r="M28" s="222"/>
      <c r="N28" s="222"/>
      <c r="O28" s="222"/>
    </row>
    <row r="29" spans="2:36" ht="45" customHeight="1" x14ac:dyDescent="0.25">
      <c r="B29" s="263" t="s">
        <v>302</v>
      </c>
      <c r="C29" s="264" t="s">
        <v>303</v>
      </c>
      <c r="D29" s="261"/>
      <c r="E29" s="14" t="s">
        <v>1821</v>
      </c>
      <c r="F29" s="14" t="s">
        <v>1826</v>
      </c>
      <c r="G29" s="14"/>
      <c r="H29" s="14"/>
      <c r="I29" s="14"/>
      <c r="J29" s="14"/>
      <c r="O29" s="265"/>
    </row>
    <row r="30" spans="2:36" x14ac:dyDescent="0.25">
      <c r="B30" s="258">
        <v>44197</v>
      </c>
      <c r="C30" s="205">
        <v>6.3</v>
      </c>
      <c r="D30" s="262"/>
      <c r="E30" s="56" t="s">
        <v>1754</v>
      </c>
      <c r="F30" s="35"/>
      <c r="G30" s="35"/>
      <c r="H30" s="73"/>
      <c r="I30" s="35"/>
      <c r="J30" s="73"/>
      <c r="O30" s="222"/>
    </row>
    <row r="31" spans="2:36" x14ac:dyDescent="0.25">
      <c r="B31" s="258">
        <v>44228</v>
      </c>
      <c r="C31" s="205">
        <v>6.2</v>
      </c>
      <c r="D31" s="262"/>
      <c r="E31" s="94" t="s">
        <v>1822</v>
      </c>
      <c r="F31" s="128">
        <v>6.166666666666667</v>
      </c>
      <c r="G31" s="35"/>
      <c r="H31" s="73"/>
      <c r="I31" s="35"/>
      <c r="J31" s="73"/>
      <c r="O31" s="222"/>
    </row>
    <row r="32" spans="2:36" x14ac:dyDescent="0.25">
      <c r="B32" s="258">
        <v>44256</v>
      </c>
      <c r="C32" s="205">
        <v>6</v>
      </c>
      <c r="D32" s="262"/>
      <c r="E32" s="94" t="s">
        <v>1823</v>
      </c>
      <c r="F32" s="128">
        <v>5.7666666666666657</v>
      </c>
      <c r="G32" s="35"/>
      <c r="H32" s="73"/>
      <c r="I32" s="35"/>
      <c r="J32" s="73"/>
      <c r="O32" s="222"/>
    </row>
    <row r="33" spans="1:42" x14ac:dyDescent="0.25">
      <c r="B33" s="258">
        <v>44287</v>
      </c>
      <c r="C33" s="205">
        <v>6.1</v>
      </c>
      <c r="D33" s="262"/>
      <c r="E33" s="94" t="s">
        <v>1824</v>
      </c>
      <c r="F33" s="128">
        <v>5.1333333333333337</v>
      </c>
      <c r="G33" s="35"/>
      <c r="H33" s="73"/>
      <c r="I33" s="35"/>
      <c r="J33" s="73"/>
      <c r="O33" s="222"/>
    </row>
    <row r="34" spans="1:42" x14ac:dyDescent="0.25">
      <c r="A34" s="35"/>
      <c r="B34" s="258">
        <v>44317</v>
      </c>
      <c r="C34" s="205">
        <v>5.8</v>
      </c>
      <c r="D34" s="262"/>
      <c r="E34" s="94" t="s">
        <v>1825</v>
      </c>
      <c r="F34" s="128">
        <v>4.2333333333333334</v>
      </c>
      <c r="G34" s="35"/>
      <c r="H34" s="73"/>
      <c r="I34" s="35"/>
      <c r="J34" s="73"/>
      <c r="O34" s="222"/>
    </row>
    <row r="35" spans="1:42" x14ac:dyDescent="0.25">
      <c r="A35" s="35"/>
      <c r="B35" s="258">
        <v>44348</v>
      </c>
      <c r="C35" s="205">
        <v>5.4</v>
      </c>
      <c r="D35" s="262"/>
      <c r="E35" s="56" t="s">
        <v>1743</v>
      </c>
      <c r="F35" s="128"/>
      <c r="G35" s="35"/>
      <c r="H35" s="73"/>
      <c r="I35" s="35"/>
      <c r="J35" s="73"/>
      <c r="O35" s="222"/>
    </row>
    <row r="36" spans="1:42" x14ac:dyDescent="0.25">
      <c r="A36" s="35"/>
      <c r="B36" s="258">
        <v>44378</v>
      </c>
      <c r="C36" s="205">
        <v>5.4</v>
      </c>
      <c r="D36" s="262"/>
      <c r="E36" s="94" t="s">
        <v>1822</v>
      </c>
      <c r="F36" s="128">
        <v>3.8000000000000003</v>
      </c>
      <c r="G36" s="35"/>
      <c r="H36" s="73"/>
      <c r="I36" s="35"/>
      <c r="J36" s="73"/>
      <c r="O36" s="222"/>
    </row>
    <row r="37" spans="1:42" x14ac:dyDescent="0.25">
      <c r="A37" s="35"/>
      <c r="B37" s="258">
        <v>44409</v>
      </c>
      <c r="C37" s="205">
        <v>5.2</v>
      </c>
      <c r="D37" s="262"/>
      <c r="E37" s="94" t="s">
        <v>1823</v>
      </c>
      <c r="F37" s="128">
        <v>3.6</v>
      </c>
      <c r="G37" s="35"/>
      <c r="H37" s="73"/>
      <c r="I37" s="35"/>
      <c r="J37" s="73"/>
      <c r="O37" s="222"/>
    </row>
    <row r="38" spans="1:42" x14ac:dyDescent="0.25">
      <c r="A38" s="35"/>
      <c r="B38" s="258">
        <v>44440</v>
      </c>
      <c r="C38" s="205">
        <v>4.8</v>
      </c>
      <c r="D38" s="262"/>
      <c r="E38" s="94" t="s">
        <v>1824</v>
      </c>
      <c r="F38" s="128">
        <v>3.5666666666666664</v>
      </c>
      <c r="G38" s="35"/>
      <c r="H38" s="73"/>
      <c r="I38" s="35"/>
      <c r="J38" s="73"/>
      <c r="O38" s="222"/>
    </row>
    <row r="39" spans="1:42" x14ac:dyDescent="0.25">
      <c r="A39" s="35"/>
      <c r="B39" s="258">
        <v>44470</v>
      </c>
      <c r="C39" s="205">
        <v>4.5999999999999996</v>
      </c>
      <c r="D39" s="262"/>
      <c r="E39" s="94" t="s">
        <v>1825</v>
      </c>
      <c r="F39" s="128">
        <v>3.6</v>
      </c>
      <c r="G39" s="35"/>
      <c r="H39" s="73"/>
      <c r="I39" s="35"/>
      <c r="J39" s="73"/>
      <c r="O39" s="222"/>
    </row>
    <row r="40" spans="1:42" x14ac:dyDescent="0.25">
      <c r="A40" s="35"/>
      <c r="B40" s="258">
        <v>44501</v>
      </c>
      <c r="C40" s="205">
        <v>4.2</v>
      </c>
      <c r="D40" s="262"/>
      <c r="E40" s="56" t="s">
        <v>1827</v>
      </c>
      <c r="F40" s="128"/>
      <c r="G40" s="35"/>
      <c r="H40" s="73"/>
      <c r="I40" s="35"/>
      <c r="J40" s="73"/>
      <c r="O40" s="222"/>
      <c r="AH40" s="222"/>
      <c r="AI40" s="222"/>
      <c r="AJ40" s="222"/>
      <c r="AK40" s="222"/>
      <c r="AL40" s="222"/>
      <c r="AM40" s="222"/>
      <c r="AN40" s="222"/>
      <c r="AO40" s="222"/>
      <c r="AP40" s="222"/>
    </row>
    <row r="41" spans="1:42" x14ac:dyDescent="0.25">
      <c r="A41" s="35"/>
      <c r="B41" s="258">
        <v>44531</v>
      </c>
      <c r="C41" s="205">
        <v>3.9</v>
      </c>
      <c r="D41" s="262"/>
      <c r="E41" s="94" t="s">
        <v>1822</v>
      </c>
      <c r="F41" s="128">
        <v>3.5</v>
      </c>
      <c r="G41" s="35"/>
      <c r="H41" s="73"/>
      <c r="I41" s="35"/>
      <c r="J41" s="73"/>
      <c r="O41" s="222"/>
      <c r="AH41" s="222"/>
      <c r="AI41" s="222"/>
      <c r="AJ41" s="222"/>
      <c r="AK41" s="222"/>
      <c r="AL41" s="222"/>
      <c r="AM41" s="222"/>
      <c r="AN41" s="222"/>
      <c r="AO41" s="222"/>
      <c r="AP41" s="222"/>
    </row>
    <row r="42" spans="1:42" x14ac:dyDescent="0.25">
      <c r="A42" s="35"/>
      <c r="B42" s="258">
        <v>44562</v>
      </c>
      <c r="C42" s="205">
        <v>4</v>
      </c>
      <c r="D42" s="35"/>
      <c r="E42" s="94" t="s">
        <v>1823</v>
      </c>
      <c r="F42" s="128"/>
      <c r="G42" s="35"/>
      <c r="H42" s="73"/>
      <c r="I42" s="35"/>
      <c r="J42" s="73"/>
      <c r="O42" s="222"/>
    </row>
    <row r="43" spans="1:42" x14ac:dyDescent="0.25">
      <c r="A43" s="35"/>
      <c r="B43" s="258">
        <v>44593</v>
      </c>
      <c r="C43" s="205">
        <v>3.8</v>
      </c>
      <c r="D43" s="35"/>
      <c r="E43" s="94" t="s">
        <v>1824</v>
      </c>
      <c r="F43" s="128"/>
      <c r="G43" s="35"/>
      <c r="H43" s="73"/>
      <c r="I43" s="35"/>
      <c r="J43" s="73"/>
    </row>
    <row r="44" spans="1:42" x14ac:dyDescent="0.25">
      <c r="A44" s="35"/>
      <c r="B44" s="258">
        <v>44621</v>
      </c>
      <c r="C44" s="205">
        <v>3.6</v>
      </c>
      <c r="D44" s="35"/>
      <c r="E44" s="94" t="s">
        <v>1825</v>
      </c>
      <c r="F44" s="128"/>
      <c r="G44" s="35"/>
      <c r="H44" s="73"/>
      <c r="I44" s="35"/>
      <c r="J44" s="73"/>
    </row>
    <row r="45" spans="1:42" x14ac:dyDescent="0.25">
      <c r="A45" s="35"/>
      <c r="B45" s="258">
        <v>44652</v>
      </c>
      <c r="C45" s="205">
        <v>3.6</v>
      </c>
      <c r="D45" s="35"/>
      <c r="E45" s="56" t="s">
        <v>1828</v>
      </c>
      <c r="F45" s="128"/>
      <c r="G45" s="35"/>
      <c r="H45" s="73"/>
      <c r="I45" s="35"/>
      <c r="J45" s="73"/>
    </row>
    <row r="46" spans="1:42" x14ac:dyDescent="0.25">
      <c r="A46" s="35"/>
      <c r="B46" s="258">
        <v>44682</v>
      </c>
      <c r="C46" s="205">
        <v>3.6</v>
      </c>
      <c r="D46" s="35"/>
      <c r="E46" s="94" t="s">
        <v>1822</v>
      </c>
      <c r="F46" s="128"/>
      <c r="G46" s="35"/>
      <c r="H46" s="73"/>
      <c r="I46" s="35"/>
      <c r="J46" s="73"/>
    </row>
    <row r="47" spans="1:42" x14ac:dyDescent="0.25">
      <c r="A47" s="35"/>
      <c r="B47" s="258">
        <v>44713</v>
      </c>
      <c r="C47" s="205">
        <v>3.6</v>
      </c>
      <c r="D47" s="35"/>
      <c r="E47" s="94" t="s">
        <v>1823</v>
      </c>
      <c r="F47" s="128"/>
      <c r="G47" s="35"/>
      <c r="H47" s="73"/>
      <c r="I47" s="35"/>
      <c r="J47" s="73"/>
    </row>
    <row r="48" spans="1:42" x14ac:dyDescent="0.25">
      <c r="A48" s="35"/>
      <c r="B48" s="258">
        <v>44743</v>
      </c>
      <c r="C48" s="205">
        <v>3.5</v>
      </c>
      <c r="D48" s="35"/>
      <c r="E48" s="94" t="s">
        <v>1824</v>
      </c>
      <c r="F48" s="128"/>
      <c r="G48" s="35"/>
      <c r="H48" s="73"/>
      <c r="I48" s="35"/>
      <c r="J48" s="73"/>
    </row>
    <row r="49" spans="1:10" x14ac:dyDescent="0.25">
      <c r="A49" s="35"/>
      <c r="B49" s="258">
        <v>44774</v>
      </c>
      <c r="C49" s="205">
        <v>3.7</v>
      </c>
      <c r="D49" s="35"/>
      <c r="E49" s="94" t="s">
        <v>1825</v>
      </c>
      <c r="F49" s="128"/>
      <c r="G49" s="35"/>
      <c r="H49" s="73"/>
      <c r="I49" s="35"/>
      <c r="J49" s="73"/>
    </row>
    <row r="50" spans="1:10" x14ac:dyDescent="0.25">
      <c r="A50" s="35"/>
      <c r="B50" s="258">
        <v>44805</v>
      </c>
      <c r="C50" s="205">
        <v>3.5</v>
      </c>
      <c r="D50" s="35"/>
      <c r="E50" s="56" t="s">
        <v>1829</v>
      </c>
      <c r="F50" s="128"/>
      <c r="G50" s="35"/>
      <c r="H50" s="35"/>
      <c r="I50" s="35"/>
      <c r="J50" s="35"/>
    </row>
    <row r="51" spans="1:10" x14ac:dyDescent="0.25">
      <c r="A51" s="35"/>
      <c r="B51" s="258">
        <v>44835</v>
      </c>
      <c r="C51" s="205">
        <v>3.7</v>
      </c>
      <c r="D51" s="35"/>
      <c r="E51" s="94" t="s">
        <v>1822</v>
      </c>
      <c r="F51" s="128"/>
      <c r="G51" s="35"/>
      <c r="H51" s="35"/>
      <c r="I51" s="35"/>
      <c r="J51" s="35"/>
    </row>
    <row r="52" spans="1:10" x14ac:dyDescent="0.25">
      <c r="A52" s="35"/>
      <c r="B52" s="258">
        <v>44866</v>
      </c>
      <c r="C52" s="205">
        <v>3.6</v>
      </c>
      <c r="D52" s="35"/>
      <c r="E52" s="94" t="s">
        <v>1823</v>
      </c>
      <c r="F52" s="128"/>
      <c r="G52" s="35"/>
      <c r="H52" s="35"/>
      <c r="I52" s="35"/>
      <c r="J52" s="35"/>
    </row>
    <row r="53" spans="1:10" x14ac:dyDescent="0.25">
      <c r="A53" s="35"/>
      <c r="B53" s="258">
        <v>44896</v>
      </c>
      <c r="C53" s="205">
        <v>3.5</v>
      </c>
      <c r="D53" s="35"/>
      <c r="E53" s="94" t="s">
        <v>1824</v>
      </c>
      <c r="F53" s="128"/>
      <c r="G53" s="35"/>
      <c r="H53" s="35"/>
      <c r="I53" s="35"/>
      <c r="J53" s="35"/>
    </row>
    <row r="54" spans="1:10" x14ac:dyDescent="0.25">
      <c r="B54" s="258">
        <v>44927</v>
      </c>
      <c r="C54" s="205">
        <v>3.4</v>
      </c>
      <c r="D54" s="35"/>
      <c r="E54" s="94" t="s">
        <v>1825</v>
      </c>
      <c r="F54" s="128"/>
      <c r="G54" s="35"/>
      <c r="H54" s="35"/>
      <c r="I54" s="35"/>
      <c r="J54" s="35"/>
    </row>
    <row r="55" spans="1:10" x14ac:dyDescent="0.25">
      <c r="B55" s="258">
        <v>44958</v>
      </c>
      <c r="C55" s="205">
        <v>3.6</v>
      </c>
      <c r="D55" s="35"/>
      <c r="E55" s="56" t="s">
        <v>1830</v>
      </c>
      <c r="F55" s="128"/>
      <c r="G55" s="35"/>
      <c r="H55" s="35"/>
      <c r="I55" s="35"/>
      <c r="J55" s="35"/>
    </row>
    <row r="56" spans="1:10" x14ac:dyDescent="0.25">
      <c r="B56" s="258">
        <v>44986</v>
      </c>
      <c r="C56" s="205">
        <v>3.5</v>
      </c>
      <c r="D56" s="35"/>
      <c r="E56" s="94" t="s">
        <v>1822</v>
      </c>
      <c r="F56" s="128"/>
      <c r="G56" s="35"/>
      <c r="H56" s="35"/>
      <c r="I56" s="35"/>
      <c r="J56" s="35"/>
    </row>
    <row r="57" spans="1:10" x14ac:dyDescent="0.25">
      <c r="B57" s="258">
        <v>45017</v>
      </c>
      <c r="C57" s="205"/>
      <c r="D57" s="35"/>
      <c r="E57" s="94" t="s">
        <v>1823</v>
      </c>
      <c r="F57" s="128"/>
      <c r="G57" s="35"/>
      <c r="H57" s="35"/>
      <c r="I57" s="35"/>
      <c r="J57" s="35"/>
    </row>
    <row r="58" spans="1:10" x14ac:dyDescent="0.25">
      <c r="B58" s="258">
        <v>45047</v>
      </c>
      <c r="C58" s="205"/>
      <c r="D58" s="35"/>
      <c r="E58" s="94" t="s">
        <v>1824</v>
      </c>
      <c r="F58" s="128"/>
      <c r="G58" s="35"/>
      <c r="H58" s="35"/>
      <c r="I58" s="35"/>
      <c r="J58" s="35"/>
    </row>
    <row r="59" spans="1:10" x14ac:dyDescent="0.25">
      <c r="B59" s="258">
        <v>45078</v>
      </c>
      <c r="C59" s="205"/>
      <c r="D59" s="35"/>
      <c r="E59" s="94" t="s">
        <v>1825</v>
      </c>
      <c r="F59" s="128"/>
      <c r="G59" s="35"/>
      <c r="H59" s="35"/>
      <c r="I59" s="35"/>
      <c r="J59" s="35"/>
    </row>
    <row r="60" spans="1:10" x14ac:dyDescent="0.25">
      <c r="B60" s="258">
        <v>45108</v>
      </c>
      <c r="C60" s="205"/>
      <c r="D60" s="35"/>
      <c r="E60" s="35"/>
      <c r="F60" s="35"/>
      <c r="G60" s="35"/>
      <c r="H60" s="35"/>
      <c r="I60" s="35"/>
      <c r="J60" s="35"/>
    </row>
    <row r="61" spans="1:10" x14ac:dyDescent="0.25">
      <c r="B61" s="258">
        <v>45139</v>
      </c>
      <c r="C61" s="205"/>
      <c r="D61" s="35"/>
      <c r="E61" s="35"/>
      <c r="F61" s="35"/>
      <c r="G61" s="35"/>
      <c r="H61" s="35"/>
      <c r="I61" s="35"/>
      <c r="J61" s="35"/>
    </row>
    <row r="62" spans="1:10" x14ac:dyDescent="0.25">
      <c r="B62" s="258">
        <v>45170</v>
      </c>
      <c r="C62" s="205"/>
      <c r="D62" s="35"/>
      <c r="E62" s="35"/>
      <c r="F62" s="35"/>
      <c r="G62" s="35"/>
      <c r="H62" s="35"/>
      <c r="I62" s="35"/>
      <c r="J62" s="35"/>
    </row>
    <row r="63" spans="1:10" x14ac:dyDescent="0.25">
      <c r="B63" s="258">
        <v>45200</v>
      </c>
      <c r="C63" s="205"/>
      <c r="D63" s="35"/>
      <c r="E63" s="35"/>
      <c r="F63" s="35"/>
      <c r="G63" s="35"/>
      <c r="H63" s="35"/>
      <c r="I63" s="35"/>
      <c r="J63" s="35"/>
    </row>
    <row r="64" spans="1:10" x14ac:dyDescent="0.25">
      <c r="B64" s="258">
        <v>45231</v>
      </c>
      <c r="C64" s="205"/>
      <c r="D64" s="35"/>
      <c r="E64" s="35"/>
      <c r="F64" s="35"/>
      <c r="G64" s="35"/>
      <c r="H64" s="35"/>
      <c r="I64" s="35"/>
      <c r="J64" s="35"/>
    </row>
    <row r="65" spans="2:10" x14ac:dyDescent="0.25">
      <c r="B65" s="258">
        <v>45261</v>
      </c>
      <c r="C65" s="205"/>
      <c r="D65" s="35"/>
      <c r="E65" s="35"/>
      <c r="F65" s="35"/>
      <c r="G65" s="35"/>
      <c r="H65" s="35"/>
      <c r="I65" s="35"/>
      <c r="J65" s="35"/>
    </row>
    <row r="66" spans="2:10" x14ac:dyDescent="0.25">
      <c r="B66" s="258">
        <v>45292</v>
      </c>
      <c r="C66" s="205"/>
      <c r="D66" s="35"/>
      <c r="E66" s="35"/>
      <c r="F66" s="35"/>
      <c r="G66" s="35"/>
      <c r="H66" s="35"/>
      <c r="I66" s="35"/>
      <c r="J66" s="35"/>
    </row>
    <row r="67" spans="2:10" x14ac:dyDescent="0.25">
      <c r="B67" s="258">
        <v>45323</v>
      </c>
      <c r="C67" s="205"/>
      <c r="D67" s="35"/>
      <c r="E67" s="35"/>
      <c r="F67" s="35"/>
      <c r="G67" s="35"/>
      <c r="H67" s="35"/>
      <c r="I67" s="35"/>
      <c r="J67" s="35"/>
    </row>
    <row r="68" spans="2:10" x14ac:dyDescent="0.25">
      <c r="B68" s="258">
        <v>45352</v>
      </c>
      <c r="C68" s="205"/>
      <c r="D68" s="35"/>
      <c r="E68" s="35"/>
      <c r="F68" s="35"/>
      <c r="G68" s="35"/>
      <c r="H68" s="35"/>
      <c r="I68" s="35"/>
      <c r="J68" s="35"/>
    </row>
    <row r="69" spans="2:10" x14ac:dyDescent="0.25">
      <c r="B69" s="258">
        <v>45383</v>
      </c>
      <c r="C69" s="205"/>
      <c r="D69" s="35"/>
      <c r="E69" s="35"/>
      <c r="F69" s="35"/>
      <c r="G69" s="35"/>
      <c r="H69" s="35"/>
      <c r="I69" s="35"/>
      <c r="J69" s="35"/>
    </row>
    <row r="70" spans="2:10" x14ac:dyDescent="0.25">
      <c r="B70" s="258">
        <v>45413</v>
      </c>
      <c r="C70" s="205"/>
      <c r="D70" s="35"/>
      <c r="E70" s="35"/>
      <c r="F70" s="35"/>
      <c r="G70" s="35"/>
      <c r="H70" s="35"/>
      <c r="I70" s="35"/>
      <c r="J70" s="35"/>
    </row>
    <row r="71" spans="2:10" x14ac:dyDescent="0.25">
      <c r="B71" s="258">
        <v>45444</v>
      </c>
      <c r="C71" s="205"/>
      <c r="D71" s="35"/>
      <c r="E71" s="35"/>
      <c r="F71" s="35"/>
      <c r="G71" s="35"/>
      <c r="H71" s="35"/>
      <c r="I71" s="35"/>
      <c r="J71" s="35"/>
    </row>
    <row r="72" spans="2:10" x14ac:dyDescent="0.25">
      <c r="B72" s="258">
        <v>45474</v>
      </c>
      <c r="C72" s="205"/>
      <c r="D72" s="35"/>
      <c r="E72" s="35"/>
      <c r="F72" s="35"/>
      <c r="G72" s="35"/>
      <c r="H72" s="35"/>
      <c r="I72" s="35"/>
      <c r="J72" s="35"/>
    </row>
    <row r="73" spans="2:10" x14ac:dyDescent="0.25">
      <c r="B73" s="258">
        <v>45505</v>
      </c>
      <c r="C73" s="205"/>
      <c r="D73" s="35"/>
      <c r="E73" s="35"/>
      <c r="F73" s="35"/>
      <c r="G73" s="35"/>
      <c r="H73" s="35"/>
      <c r="I73" s="35"/>
      <c r="J73" s="35"/>
    </row>
    <row r="74" spans="2:10" x14ac:dyDescent="0.25">
      <c r="B74" s="258">
        <v>45536</v>
      </c>
      <c r="C74" s="205"/>
      <c r="D74" s="35"/>
      <c r="E74" s="35"/>
      <c r="F74" s="35"/>
      <c r="G74" s="35"/>
      <c r="H74" s="35"/>
      <c r="I74" s="35"/>
      <c r="J74" s="35"/>
    </row>
    <row r="75" spans="2:10" x14ac:dyDescent="0.25">
      <c r="B75" s="258">
        <v>45566</v>
      </c>
      <c r="C75" s="205"/>
      <c r="D75" s="35"/>
      <c r="E75" s="35"/>
      <c r="F75" s="35"/>
      <c r="G75" s="35"/>
      <c r="H75" s="35"/>
      <c r="I75" s="35"/>
      <c r="J75" s="35"/>
    </row>
    <row r="76" spans="2:10" x14ac:dyDescent="0.25">
      <c r="B76" s="258">
        <v>45597</v>
      </c>
      <c r="C76" s="205"/>
      <c r="D76" s="35"/>
      <c r="E76" s="35"/>
      <c r="F76" s="35"/>
      <c r="G76" s="35"/>
      <c r="H76" s="35"/>
      <c r="I76" s="35"/>
      <c r="J76" s="35"/>
    </row>
    <row r="77" spans="2:10" x14ac:dyDescent="0.25">
      <c r="B77" s="258">
        <v>45627</v>
      </c>
      <c r="C77" s="205"/>
      <c r="D77" s="35"/>
      <c r="E77" s="35"/>
      <c r="F77" s="35"/>
      <c r="G77" s="35"/>
      <c r="H77" s="35"/>
      <c r="I77" s="35"/>
      <c r="J77" s="35"/>
    </row>
    <row r="78" spans="2:10" x14ac:dyDescent="0.25">
      <c r="B78" s="258">
        <v>45658</v>
      </c>
      <c r="C78" s="205"/>
      <c r="D78" s="35"/>
      <c r="E78" s="35"/>
      <c r="F78" s="35"/>
      <c r="G78" s="35"/>
      <c r="H78" s="35"/>
      <c r="I78" s="35"/>
      <c r="J78" s="35"/>
    </row>
    <row r="79" spans="2:10" x14ac:dyDescent="0.25">
      <c r="B79" s="258">
        <v>45689</v>
      </c>
      <c r="C79" s="205"/>
      <c r="D79" s="35"/>
      <c r="E79" s="35"/>
      <c r="F79" s="35"/>
      <c r="G79" s="35"/>
      <c r="H79" s="35"/>
      <c r="I79" s="35"/>
      <c r="J79" s="35"/>
    </row>
    <row r="80" spans="2:10" x14ac:dyDescent="0.25">
      <c r="B80" s="258">
        <v>45717</v>
      </c>
      <c r="C80" s="205"/>
      <c r="D80" s="35"/>
      <c r="E80" s="35"/>
      <c r="F80" s="35"/>
      <c r="G80" s="35"/>
      <c r="H80" s="35"/>
      <c r="I80" s="35"/>
      <c r="J80" s="35"/>
    </row>
    <row r="81" spans="2:10" x14ac:dyDescent="0.25">
      <c r="B81" s="258">
        <v>45748</v>
      </c>
      <c r="C81" s="205"/>
      <c r="D81" s="35"/>
      <c r="E81" s="35"/>
      <c r="F81" s="35"/>
      <c r="G81" s="35"/>
      <c r="H81" s="35"/>
      <c r="I81" s="35"/>
      <c r="J81" s="35"/>
    </row>
    <row r="82" spans="2:10" x14ac:dyDescent="0.25">
      <c r="B82" s="258">
        <v>45778</v>
      </c>
      <c r="C82" s="205"/>
      <c r="D82" s="35"/>
      <c r="E82" s="35"/>
      <c r="F82" s="35"/>
      <c r="G82" s="35"/>
      <c r="H82" s="35"/>
      <c r="I82" s="35"/>
      <c r="J82" s="35"/>
    </row>
    <row r="83" spans="2:10" x14ac:dyDescent="0.25">
      <c r="B83" s="258">
        <v>45809</v>
      </c>
      <c r="C83" s="205"/>
      <c r="D83" s="35"/>
      <c r="E83" s="35"/>
      <c r="F83" s="35"/>
      <c r="G83" s="35"/>
      <c r="H83" s="35"/>
      <c r="I83" s="35"/>
      <c r="J83" s="35"/>
    </row>
    <row r="84" spans="2:10" x14ac:dyDescent="0.25">
      <c r="B84" s="258">
        <v>45839</v>
      </c>
      <c r="C84" s="205"/>
      <c r="D84" s="35"/>
      <c r="E84" s="35"/>
      <c r="F84" s="35"/>
      <c r="G84" s="35"/>
      <c r="H84" s="35"/>
      <c r="I84" s="35"/>
      <c r="J84" s="35"/>
    </row>
    <row r="85" spans="2:10" x14ac:dyDescent="0.25">
      <c r="B85" s="258">
        <v>45870</v>
      </c>
      <c r="C85" s="205"/>
      <c r="D85" s="35"/>
      <c r="E85" s="35"/>
      <c r="F85" s="35"/>
      <c r="G85" s="35"/>
      <c r="H85" s="35"/>
      <c r="I85" s="35"/>
      <c r="J85" s="35"/>
    </row>
    <row r="86" spans="2:10" x14ac:dyDescent="0.25">
      <c r="B86" s="258">
        <v>45901</v>
      </c>
      <c r="C86" s="205"/>
      <c r="D86" s="35"/>
      <c r="E86" s="35"/>
      <c r="F86" s="35"/>
      <c r="G86" s="35"/>
      <c r="H86" s="35"/>
      <c r="I86" s="35"/>
      <c r="J86" s="35"/>
    </row>
    <row r="87" spans="2:10" x14ac:dyDescent="0.25">
      <c r="B87" s="258">
        <v>45931</v>
      </c>
      <c r="C87" s="205"/>
      <c r="D87" s="35"/>
      <c r="E87" s="35"/>
      <c r="F87" s="35"/>
      <c r="G87" s="35"/>
      <c r="H87" s="35"/>
      <c r="I87" s="35"/>
      <c r="J87" s="35"/>
    </row>
    <row r="88" spans="2:10" x14ac:dyDescent="0.25">
      <c r="B88" s="258">
        <v>45962</v>
      </c>
      <c r="C88" s="205"/>
      <c r="D88" s="35"/>
      <c r="E88" s="35"/>
      <c r="F88" s="35"/>
      <c r="G88" s="35"/>
      <c r="H88" s="35"/>
      <c r="I88" s="35"/>
      <c r="J88" s="35"/>
    </row>
    <row r="89" spans="2:10" x14ac:dyDescent="0.25">
      <c r="B89" s="258">
        <v>45992</v>
      </c>
      <c r="C89" s="205"/>
      <c r="D89" s="35"/>
      <c r="E89" s="35"/>
      <c r="F89" s="35"/>
      <c r="G89" s="35"/>
      <c r="H89" s="35"/>
      <c r="I89" s="35"/>
      <c r="J89" s="35"/>
    </row>
    <row r="90" spans="2:10" x14ac:dyDescent="0.25">
      <c r="B90" s="258">
        <v>46023</v>
      </c>
      <c r="C90" s="205"/>
      <c r="D90" s="35"/>
      <c r="E90" s="35"/>
      <c r="F90" s="35"/>
      <c r="G90" s="35"/>
      <c r="H90" s="35"/>
      <c r="I90" s="35"/>
      <c r="J90" s="35"/>
    </row>
    <row r="91" spans="2:10" x14ac:dyDescent="0.25">
      <c r="B91" s="258">
        <v>46054</v>
      </c>
      <c r="C91" s="205"/>
      <c r="D91" s="35"/>
      <c r="E91" s="35"/>
      <c r="F91" s="35"/>
      <c r="G91" s="35"/>
      <c r="H91" s="35"/>
      <c r="I91" s="35"/>
      <c r="J91" s="35"/>
    </row>
    <row r="92" spans="2:10" x14ac:dyDescent="0.25">
      <c r="B92" s="258">
        <v>46082</v>
      </c>
      <c r="C92" s="205"/>
      <c r="D92" s="35"/>
      <c r="E92" s="35"/>
      <c r="F92" s="35"/>
      <c r="G92" s="35"/>
      <c r="H92" s="35"/>
      <c r="I92" s="35"/>
      <c r="J92" s="35"/>
    </row>
    <row r="93" spans="2:10" x14ac:dyDescent="0.25">
      <c r="B93" s="258">
        <v>46113</v>
      </c>
      <c r="C93" s="205"/>
      <c r="D93" s="35"/>
      <c r="E93" s="35"/>
      <c r="F93" s="35"/>
      <c r="G93" s="35"/>
      <c r="H93" s="35"/>
      <c r="I93" s="35"/>
      <c r="J93" s="35"/>
    </row>
    <row r="94" spans="2:10" x14ac:dyDescent="0.25">
      <c r="B94" s="258">
        <v>46143</v>
      </c>
      <c r="C94" s="205"/>
      <c r="D94" s="35"/>
      <c r="E94" s="35"/>
      <c r="F94" s="35"/>
      <c r="G94" s="35"/>
      <c r="H94" s="35"/>
      <c r="I94" s="35"/>
      <c r="J94" s="35"/>
    </row>
    <row r="95" spans="2:10" x14ac:dyDescent="0.25">
      <c r="B95" s="258">
        <v>46174</v>
      </c>
      <c r="C95" s="205"/>
      <c r="D95" s="35"/>
      <c r="E95" s="35"/>
      <c r="F95" s="35"/>
      <c r="G95" s="35"/>
      <c r="H95" s="35"/>
      <c r="I95" s="35"/>
      <c r="J95" s="35"/>
    </row>
    <row r="96" spans="2:10" x14ac:dyDescent="0.25">
      <c r="B96" s="258">
        <v>46204</v>
      </c>
      <c r="C96" s="205"/>
      <c r="D96" s="35"/>
      <c r="E96" s="35"/>
      <c r="F96" s="35"/>
      <c r="G96" s="35"/>
      <c r="H96" s="35"/>
      <c r="I96" s="35"/>
      <c r="J96" s="35"/>
    </row>
    <row r="97" spans="2:10" x14ac:dyDescent="0.25">
      <c r="B97" s="258">
        <v>46235</v>
      </c>
      <c r="C97" s="205"/>
      <c r="D97" s="35"/>
      <c r="E97" s="35"/>
      <c r="F97" s="35"/>
      <c r="G97" s="35"/>
      <c r="H97" s="35"/>
      <c r="I97" s="35"/>
      <c r="J97" s="35"/>
    </row>
    <row r="98" spans="2:10" x14ac:dyDescent="0.25">
      <c r="B98" s="258">
        <v>46266</v>
      </c>
      <c r="C98" s="205"/>
      <c r="D98" s="35"/>
      <c r="E98" s="35"/>
      <c r="F98" s="35"/>
      <c r="G98" s="35"/>
      <c r="H98" s="35"/>
      <c r="I98" s="35"/>
      <c r="J98" s="35"/>
    </row>
    <row r="99" spans="2:10" x14ac:dyDescent="0.25">
      <c r="B99" s="258">
        <v>46296</v>
      </c>
      <c r="C99" s="205"/>
      <c r="D99" s="35"/>
      <c r="E99" s="35"/>
      <c r="F99" s="35"/>
      <c r="G99" s="35"/>
      <c r="H99" s="35"/>
      <c r="I99" s="35"/>
      <c r="J99" s="35"/>
    </row>
    <row r="100" spans="2:10" x14ac:dyDescent="0.25">
      <c r="B100" s="258">
        <v>46327</v>
      </c>
      <c r="C100" s="205"/>
      <c r="D100" s="35"/>
      <c r="E100" s="35"/>
      <c r="F100" s="35"/>
      <c r="G100" s="35"/>
      <c r="H100" s="35"/>
      <c r="I100" s="35"/>
      <c r="J100" s="35"/>
    </row>
    <row r="101" spans="2:10" x14ac:dyDescent="0.25">
      <c r="B101" s="259">
        <v>46357</v>
      </c>
      <c r="C101" s="206"/>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5546875" defaultRowHeight="15" x14ac:dyDescent="0.25"/>
  <cols>
    <col min="2" max="2" width="52.42578125" customWidth="1"/>
    <col min="3" max="4" width="11.42578125" customWidth="1"/>
    <col min="5" max="5" width="12.85546875" customWidth="1"/>
    <col min="6" max="6" width="10.85546875" customWidth="1"/>
    <col min="7" max="7" width="11.42578125" customWidth="1"/>
    <col min="8" max="8" width="12.140625" customWidth="1"/>
    <col min="9" max="9" width="8.42578125" customWidth="1"/>
    <col min="10" max="10" width="10.42578125" customWidth="1"/>
    <col min="11" max="11" width="8.42578125" customWidth="1"/>
    <col min="12" max="12" width="12.85546875" customWidth="1"/>
    <col min="13" max="13" width="20.42578125" customWidth="1"/>
    <col min="14" max="20" width="9.42578125" customWidth="1"/>
    <col min="21" max="25" width="10.85546875" customWidth="1"/>
    <col min="26" max="26" width="11.140625" customWidth="1"/>
    <col min="27" max="32" width="9.42578125" customWidth="1"/>
    <col min="33" max="36" width="8.42578125" customWidth="1"/>
  </cols>
  <sheetData>
    <row r="1" spans="2:30" x14ac:dyDescent="0.25">
      <c r="B1" s="1357" t="s">
        <v>53</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0" ht="14.25" customHeight="1" x14ac:dyDescent="0.25">
      <c r="B2" s="1358" t="s">
        <v>278</v>
      </c>
      <c r="C2" s="1358"/>
      <c r="D2" s="1358"/>
      <c r="E2" s="1358"/>
      <c r="F2" s="1358"/>
      <c r="G2" s="1358"/>
      <c r="H2" s="1358"/>
      <c r="I2" s="1358"/>
      <c r="J2" s="1358"/>
      <c r="K2" s="1358"/>
      <c r="L2" s="1358"/>
      <c r="M2" s="1358"/>
      <c r="N2" s="1358"/>
      <c r="O2" s="1358"/>
      <c r="P2" s="1358"/>
      <c r="Q2" s="1358"/>
      <c r="R2" s="1358"/>
      <c r="S2" s="1358"/>
      <c r="T2" s="1358"/>
      <c r="U2" s="1358"/>
      <c r="V2" s="1358"/>
      <c r="W2" s="1358"/>
      <c r="X2" s="1358"/>
      <c r="Y2" s="1358"/>
      <c r="Z2" s="1358"/>
      <c r="AA2" s="1358"/>
      <c r="AB2" s="1358"/>
      <c r="AC2" s="1358"/>
    </row>
    <row r="3" spans="2:30" x14ac:dyDescent="0.25">
      <c r="B3" s="1358"/>
      <c r="C3" s="1358"/>
      <c r="D3" s="1358"/>
      <c r="E3" s="1358"/>
      <c r="F3" s="1358"/>
      <c r="G3" s="1358"/>
      <c r="H3" s="1358"/>
      <c r="I3" s="1358"/>
      <c r="J3" s="1358"/>
      <c r="K3" s="1358"/>
      <c r="L3" s="1358"/>
      <c r="M3" s="1358"/>
      <c r="N3" s="1358"/>
      <c r="O3" s="1358"/>
      <c r="P3" s="1358"/>
      <c r="Q3" s="1358"/>
      <c r="R3" s="1358"/>
      <c r="S3" s="1358"/>
      <c r="T3" s="1358"/>
      <c r="U3" s="1358"/>
      <c r="V3" s="1358"/>
      <c r="W3" s="1358"/>
      <c r="X3" s="1358"/>
      <c r="Y3" s="1358"/>
      <c r="Z3" s="1358"/>
      <c r="AA3" s="1358"/>
      <c r="AB3" s="1358"/>
      <c r="AC3" s="1358"/>
    </row>
    <row r="4" spans="2:30" x14ac:dyDescent="0.25">
      <c r="B4" s="1358"/>
      <c r="C4" s="1358"/>
      <c r="D4" s="1358"/>
      <c r="E4" s="1358"/>
      <c r="F4" s="1358"/>
      <c r="G4" s="1358"/>
      <c r="H4" s="1358"/>
      <c r="I4" s="1358"/>
      <c r="J4" s="1358"/>
      <c r="K4" s="1358"/>
      <c r="L4" s="1358"/>
      <c r="M4" s="1358"/>
      <c r="N4" s="1358"/>
      <c r="O4" s="1358"/>
      <c r="P4" s="1358"/>
      <c r="Q4" s="1358"/>
      <c r="R4" s="1358"/>
      <c r="S4" s="1358"/>
      <c r="T4" s="1358"/>
      <c r="U4" s="1358"/>
      <c r="V4" s="1358"/>
      <c r="W4" s="1358"/>
      <c r="X4" s="1358"/>
      <c r="Y4" s="1358"/>
      <c r="Z4" s="1358"/>
      <c r="AA4" s="1358"/>
      <c r="AB4" s="1358"/>
      <c r="AC4" s="1358"/>
    </row>
    <row r="5" spans="2:30" x14ac:dyDescent="0.25">
      <c r="B5" s="1358"/>
      <c r="C5" s="1358"/>
      <c r="D5" s="1358"/>
      <c r="E5" s="1358"/>
      <c r="F5" s="1358"/>
      <c r="G5" s="1358"/>
      <c r="H5" s="1358"/>
      <c r="I5" s="1358"/>
      <c r="J5" s="1358"/>
      <c r="K5" s="1358"/>
      <c r="L5" s="1358"/>
      <c r="M5" s="1358"/>
      <c r="N5" s="1358"/>
      <c r="O5" s="1358"/>
      <c r="P5" s="1358"/>
      <c r="Q5" s="1358"/>
      <c r="R5" s="1358"/>
      <c r="S5" s="1358"/>
      <c r="T5" s="1358"/>
      <c r="U5" s="1358"/>
      <c r="V5" s="1358"/>
      <c r="W5" s="1358"/>
      <c r="X5" s="1358"/>
      <c r="Y5" s="1358"/>
      <c r="Z5" s="1358"/>
      <c r="AA5" s="1358"/>
      <c r="AB5" s="1358"/>
      <c r="AC5" s="1358"/>
    </row>
    <row r="6" spans="2:30" ht="38.85" customHeight="1" x14ac:dyDescent="0.25">
      <c r="B6" s="1358"/>
      <c r="C6" s="1358"/>
      <c r="D6" s="1358"/>
      <c r="E6" s="1358"/>
      <c r="F6" s="1358"/>
      <c r="G6" s="1358"/>
      <c r="H6" s="1358"/>
      <c r="I6" s="1358"/>
      <c r="J6" s="1358"/>
      <c r="K6" s="1358"/>
      <c r="L6" s="1358"/>
      <c r="M6" s="1358"/>
      <c r="N6" s="1358"/>
      <c r="O6" s="1358"/>
      <c r="P6" s="1358"/>
      <c r="Q6" s="1358"/>
      <c r="R6" s="1358"/>
      <c r="S6" s="1358"/>
      <c r="T6" s="1358"/>
      <c r="U6" s="1358"/>
      <c r="V6" s="1358"/>
      <c r="W6" s="1358"/>
      <c r="X6" s="1358"/>
      <c r="Y6" s="1358"/>
      <c r="Z6" s="1358"/>
      <c r="AA6" s="1358"/>
      <c r="AB6" s="1358"/>
      <c r="AC6" s="1358"/>
    </row>
    <row r="7" spans="2:30" x14ac:dyDescent="0.25">
      <c r="B7" s="247"/>
      <c r="C7" s="247"/>
      <c r="D7" s="247"/>
      <c r="E7" s="247"/>
      <c r="F7" s="247"/>
      <c r="G7" s="247"/>
      <c r="H7" s="248"/>
      <c r="I7" s="248"/>
      <c r="J7" s="248"/>
      <c r="K7" s="248"/>
      <c r="L7" s="248"/>
      <c r="M7" s="248"/>
      <c r="N7" s="248"/>
      <c r="O7" s="248"/>
      <c r="P7" s="248"/>
      <c r="Q7" s="248"/>
      <c r="R7" s="248"/>
      <c r="S7" s="248"/>
      <c r="T7" s="248"/>
      <c r="U7" s="248"/>
      <c r="V7" s="248"/>
      <c r="W7" s="248"/>
      <c r="X7" s="248"/>
      <c r="Y7" s="248"/>
    </row>
    <row r="8" spans="2:30" ht="14.85" customHeight="1" x14ac:dyDescent="0.25">
      <c r="B8" s="1362" t="s">
        <v>279</v>
      </c>
      <c r="C8" s="1363"/>
      <c r="D8" s="1382" t="s">
        <v>280</v>
      </c>
      <c r="E8" s="1383"/>
      <c r="F8" s="1383"/>
      <c r="G8" s="1383"/>
      <c r="H8" s="1383"/>
      <c r="I8" s="1383"/>
      <c r="J8" s="1383"/>
      <c r="K8" s="1383"/>
      <c r="L8" s="1383"/>
      <c r="M8" s="1383"/>
      <c r="N8" s="1383"/>
      <c r="O8" s="1383"/>
      <c r="P8" s="1383"/>
      <c r="Q8" s="1383"/>
      <c r="R8" s="1383"/>
      <c r="S8" s="1383"/>
      <c r="T8" s="1384"/>
      <c r="U8" s="1385" t="s">
        <v>281</v>
      </c>
      <c r="V8" s="1386"/>
      <c r="W8" s="1386"/>
      <c r="X8" s="1386"/>
      <c r="Y8" s="1386"/>
      <c r="Z8" s="1386"/>
      <c r="AA8" s="1386"/>
      <c r="AB8" s="1386"/>
      <c r="AC8" s="1387"/>
    </row>
    <row r="9" spans="2:30" ht="12.75" customHeight="1" x14ac:dyDescent="0.25">
      <c r="B9" s="1364"/>
      <c r="C9" s="1365"/>
      <c r="D9" s="200">
        <v>2018</v>
      </c>
      <c r="E9" s="1371">
        <v>2019</v>
      </c>
      <c r="F9" s="1372"/>
      <c r="G9" s="1372"/>
      <c r="H9" s="1373"/>
      <c r="I9" s="1372">
        <v>2020</v>
      </c>
      <c r="J9" s="1372"/>
      <c r="K9" s="1372"/>
      <c r="L9" s="1372"/>
      <c r="M9" s="1371">
        <v>2021</v>
      </c>
      <c r="N9" s="1372"/>
      <c r="O9" s="1372"/>
      <c r="P9" s="1372"/>
      <c r="Q9" s="1388">
        <v>2022</v>
      </c>
      <c r="R9" s="1389"/>
      <c r="S9" s="270"/>
      <c r="T9" s="279"/>
      <c r="U9" s="1369">
        <v>2023</v>
      </c>
      <c r="V9" s="1381"/>
      <c r="W9" s="1381"/>
      <c r="X9" s="1370"/>
      <c r="Y9" s="1368">
        <v>2024</v>
      </c>
      <c r="Z9" s="1381"/>
      <c r="AA9" s="1381"/>
      <c r="AB9" s="1381"/>
      <c r="AC9" s="233">
        <v>2025</v>
      </c>
    </row>
    <row r="10" spans="2:30" ht="14.85" customHeight="1" x14ac:dyDescent="0.25">
      <c r="B10" s="1364"/>
      <c r="C10" s="1365"/>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7" t="s">
        <v>282</v>
      </c>
      <c r="U10" s="252" t="s">
        <v>283</v>
      </c>
      <c r="V10" s="252" t="s">
        <v>284</v>
      </c>
      <c r="W10" s="252" t="s">
        <v>238</v>
      </c>
      <c r="X10" s="253" t="s">
        <v>282</v>
      </c>
      <c r="Y10" s="251" t="s">
        <v>283</v>
      </c>
      <c r="Z10" s="249" t="s">
        <v>284</v>
      </c>
      <c r="AA10" s="252" t="s">
        <v>238</v>
      </c>
      <c r="AB10" s="252" t="s">
        <v>282</v>
      </c>
      <c r="AC10" s="254" t="s">
        <v>283</v>
      </c>
    </row>
    <row r="11" spans="2:30" x14ac:dyDescent="0.25">
      <c r="B11" s="232" t="s">
        <v>102</v>
      </c>
      <c r="C11" s="255" t="s">
        <v>285</v>
      </c>
      <c r="D11" s="235">
        <f>'Haver Pivoted'!GO14</f>
        <v>27.1</v>
      </c>
      <c r="E11" s="291">
        <f>'Haver Pivoted'!GP14</f>
        <v>30.5</v>
      </c>
      <c r="F11" s="291">
        <f>'Haver Pivoted'!GQ14</f>
        <v>27.7</v>
      </c>
      <c r="G11" s="291">
        <f>'Haver Pivoted'!GR14</f>
        <v>25</v>
      </c>
      <c r="H11" s="291">
        <f>'Haver Pivoted'!GS14</f>
        <v>26.7</v>
      </c>
      <c r="I11" s="291">
        <f>'Haver Pivoted'!GT14</f>
        <v>40.9</v>
      </c>
      <c r="J11" s="291">
        <f>'Haver Pivoted'!GU14</f>
        <v>951.4</v>
      </c>
      <c r="K11" s="291">
        <f>'Haver Pivoted'!GV14</f>
        <v>802.3</v>
      </c>
      <c r="L11" s="291">
        <f>'Haver Pivoted'!GW14</f>
        <v>323.5</v>
      </c>
      <c r="M11" s="291">
        <f>'Haver Pivoted'!GX14</f>
        <v>583.5</v>
      </c>
      <c r="N11" s="291">
        <f>'Haver Pivoted'!GY14</f>
        <v>451.8</v>
      </c>
      <c r="O11" s="291">
        <f>'Haver Pivoted'!GZ14</f>
        <v>226.8</v>
      </c>
      <c r="P11" s="291">
        <f>'Haver Pivoted'!HA14</f>
        <v>33.9</v>
      </c>
      <c r="Q11" s="291">
        <f>'Haver Pivoted'!HB14</f>
        <v>26.2</v>
      </c>
      <c r="R11" s="291">
        <f>'Haver Pivoted'!HC14</f>
        <v>21.4</v>
      </c>
      <c r="S11" s="275">
        <f>'Haver Pivoted'!HD14</f>
        <v>19.600000000000001</v>
      </c>
      <c r="T11" s="202">
        <f>'Haver Pivoted'!HE14</f>
        <v>22.1</v>
      </c>
      <c r="U11" s="202">
        <f>'Haver Pivoted'!HF14</f>
        <v>22</v>
      </c>
      <c r="V11" s="260">
        <f t="shared" ref="V11:AC11" si="0">V12+V13+V20</f>
        <v>28.907999999999998</v>
      </c>
      <c r="W11" s="260">
        <f t="shared" si="0"/>
        <v>30.79371428571428</v>
      </c>
      <c r="X11" s="260">
        <f t="shared" si="0"/>
        <v>32.145142857142851</v>
      </c>
      <c r="Y11" s="260">
        <f t="shared" si="0"/>
        <v>32.05085714285714</v>
      </c>
      <c r="Z11" s="260">
        <f t="shared" si="0"/>
        <v>31.07028571428571</v>
      </c>
      <c r="AA11" s="260">
        <f t="shared" si="0"/>
        <v>30.542285714285711</v>
      </c>
      <c r="AB11" s="260">
        <f t="shared" si="0"/>
        <v>30.165142857142857</v>
      </c>
      <c r="AC11" s="278">
        <f t="shared" si="0"/>
        <v>30.020571428571422</v>
      </c>
      <c r="AD11" s="222" t="s">
        <v>286</v>
      </c>
    </row>
    <row r="12" spans="2:30" x14ac:dyDescent="0.25">
      <c r="B12" s="246" t="s">
        <v>287</v>
      </c>
      <c r="C12" s="236" t="s">
        <v>288</v>
      </c>
      <c r="D12" s="257">
        <f>'Haver Pivoted'!GO63</f>
        <v>0</v>
      </c>
      <c r="E12" s="216">
        <f>'Haver Pivoted'!GP63</f>
        <v>0</v>
      </c>
      <c r="F12" s="216">
        <f>'Haver Pivoted'!GQ63</f>
        <v>0</v>
      </c>
      <c r="G12" s="216">
        <f>'Haver Pivoted'!GR63</f>
        <v>0</v>
      </c>
      <c r="H12" s="216">
        <f>'Haver Pivoted'!GS63</f>
        <v>0</v>
      </c>
      <c r="I12" s="216">
        <f>'Haver Pivoted'!GT63</f>
        <v>0</v>
      </c>
      <c r="J12" s="216">
        <f>'Haver Pivoted'!GU63</f>
        <v>0.1</v>
      </c>
      <c r="K12" s="216">
        <f>'Haver Pivoted'!GV63</f>
        <v>3.7</v>
      </c>
      <c r="L12" s="216">
        <f>'Haver Pivoted'!GW63</f>
        <v>12.9</v>
      </c>
      <c r="M12" s="216">
        <f>'Haver Pivoted'!GX63</f>
        <v>25.5</v>
      </c>
      <c r="N12" s="216">
        <f>'Haver Pivoted'!GY63</f>
        <v>3.8</v>
      </c>
      <c r="O12" s="216">
        <f>'Haver Pivoted'!GZ63</f>
        <v>1.8</v>
      </c>
      <c r="P12" s="216">
        <f>'Haver Pivoted'!HA63</f>
        <v>0.6</v>
      </c>
      <c r="Q12" s="216">
        <f>'Haver Pivoted'!HB63</f>
        <v>0.2</v>
      </c>
      <c r="R12" s="216">
        <f>'Haver Pivoted'!HC63</f>
        <v>0.1</v>
      </c>
      <c r="S12" s="196">
        <f>'Haver Pivoted'!HD63</f>
        <v>0</v>
      </c>
      <c r="T12" s="197">
        <f>'Haver Pivoted'!HE63</f>
        <v>0</v>
      </c>
      <c r="U12" s="197">
        <f>'Haver Pivoted'!HF63</f>
        <v>0</v>
      </c>
      <c r="V12" s="218">
        <f>U12*V23/U23</f>
        <v>0</v>
      </c>
      <c r="W12" s="218">
        <f t="shared" ref="W12:AB12" si="1">V12*W23/V23</f>
        <v>0</v>
      </c>
      <c r="X12" s="218">
        <f t="shared" si="1"/>
        <v>0</v>
      </c>
      <c r="Y12" s="218">
        <f t="shared" si="1"/>
        <v>0</v>
      </c>
      <c r="Z12" s="218">
        <f t="shared" si="1"/>
        <v>0</v>
      </c>
      <c r="AA12" s="218">
        <f t="shared" si="1"/>
        <v>0</v>
      </c>
      <c r="AB12" s="218">
        <f t="shared" si="1"/>
        <v>0</v>
      </c>
      <c r="AC12" s="285">
        <f>AB12*AC23/AB23</f>
        <v>0</v>
      </c>
    </row>
    <row r="13" spans="2:30" x14ac:dyDescent="0.25">
      <c r="B13" s="246" t="s">
        <v>289</v>
      </c>
      <c r="C13" s="236"/>
      <c r="D13" s="257"/>
      <c r="E13" s="216"/>
      <c r="F13" s="216"/>
      <c r="G13" s="216"/>
      <c r="H13" s="207">
        <f>SUM(H14:H17)</f>
        <v>0</v>
      </c>
      <c r="I13" s="207">
        <f t="shared" ref="I13:M13" si="2">SUM(I14:I17)</f>
        <v>0</v>
      </c>
      <c r="J13" s="207">
        <f t="shared" si="2"/>
        <v>779.7</v>
      </c>
      <c r="K13" s="207">
        <f t="shared" si="2"/>
        <v>582.6</v>
      </c>
      <c r="L13" s="207">
        <f t="shared" si="2"/>
        <v>216.5</v>
      </c>
      <c r="M13" s="207">
        <f t="shared" si="2"/>
        <v>497.6</v>
      </c>
      <c r="N13" s="212">
        <f>SUM(N14:N17)</f>
        <v>401.5</v>
      </c>
      <c r="O13" s="212">
        <f t="shared" ref="O13:AC13" si="3">SUM(O14:O17)</f>
        <v>207.4</v>
      </c>
      <c r="P13" s="212">
        <f t="shared" si="3"/>
        <v>5.5</v>
      </c>
      <c r="Q13" s="212">
        <v>0</v>
      </c>
      <c r="R13" s="212">
        <f t="shared" si="3"/>
        <v>1</v>
      </c>
      <c r="S13" s="276">
        <f t="shared" si="3"/>
        <v>0.5</v>
      </c>
      <c r="T13" s="286">
        <f t="shared" si="3"/>
        <v>0.30000000000000004</v>
      </c>
      <c r="U13" s="286">
        <f t="shared" si="3"/>
        <v>0</v>
      </c>
      <c r="V13" s="218">
        <f t="shared" si="3"/>
        <v>0</v>
      </c>
      <c r="W13" s="218">
        <f t="shared" si="3"/>
        <v>0</v>
      </c>
      <c r="X13" s="218">
        <f t="shared" si="3"/>
        <v>0</v>
      </c>
      <c r="Y13" s="218">
        <f t="shared" si="3"/>
        <v>0</v>
      </c>
      <c r="Z13" s="218">
        <f t="shared" si="3"/>
        <v>0</v>
      </c>
      <c r="AA13" s="218">
        <f t="shared" si="3"/>
        <v>0</v>
      </c>
      <c r="AB13" s="218">
        <f t="shared" si="3"/>
        <v>0</v>
      </c>
      <c r="AC13" s="285">
        <f t="shared" si="3"/>
        <v>0</v>
      </c>
    </row>
    <row r="14" spans="2:30" ht="18" customHeight="1" x14ac:dyDescent="0.25">
      <c r="B14" s="228" t="s">
        <v>290</v>
      </c>
      <c r="C14" s="229" t="s">
        <v>288</v>
      </c>
      <c r="D14" s="256">
        <f>'Haver Pivoted'!GO63</f>
        <v>0</v>
      </c>
      <c r="E14" s="211">
        <f>'Haver Pivoted'!GP63</f>
        <v>0</v>
      </c>
      <c r="F14" s="211">
        <f>'Haver Pivoted'!GQ63</f>
        <v>0</v>
      </c>
      <c r="G14" s="211">
        <f>'Haver Pivoted'!GR63</f>
        <v>0</v>
      </c>
      <c r="H14" s="211">
        <f>'Haver Pivoted'!GS63</f>
        <v>0</v>
      </c>
      <c r="I14" s="211">
        <f>'Haver Pivoted'!GT63</f>
        <v>0</v>
      </c>
      <c r="J14" s="211">
        <f>'Haver Pivoted'!GU63</f>
        <v>0.1</v>
      </c>
      <c r="K14" s="211">
        <f>'Haver Pivoted'!GV63</f>
        <v>3.7</v>
      </c>
      <c r="L14" s="211">
        <f>'Haver Pivoted'!GW63</f>
        <v>12.9</v>
      </c>
      <c r="M14" s="211">
        <f>'Haver Pivoted'!GX63</f>
        <v>25.5</v>
      </c>
      <c r="N14" s="211">
        <f>'Haver Pivoted'!GY63</f>
        <v>3.8</v>
      </c>
      <c r="O14" s="211">
        <f>'Haver Pivoted'!GZ63</f>
        <v>1.8</v>
      </c>
      <c r="P14" s="211">
        <f>'Haver Pivoted'!HA63</f>
        <v>0.6</v>
      </c>
      <c r="Q14" s="211">
        <f>'Haver Pivoted'!HB63</f>
        <v>0.2</v>
      </c>
      <c r="R14" s="211">
        <f>'Haver Pivoted'!HC63</f>
        <v>0.1</v>
      </c>
      <c r="S14" s="217">
        <f>'Haver Pivoted'!HD63</f>
        <v>0</v>
      </c>
      <c r="T14" s="284">
        <f>'Haver Pivoted'!HE63</f>
        <v>0</v>
      </c>
      <c r="U14" s="284">
        <f>'Haver Pivoted'!HF63</f>
        <v>0</v>
      </c>
      <c r="V14" s="218">
        <f t="shared" ref="V14:X14" si="4">V12</f>
        <v>0</v>
      </c>
      <c r="W14" s="218">
        <f t="shared" si="4"/>
        <v>0</v>
      </c>
      <c r="X14" s="218">
        <f t="shared" si="4"/>
        <v>0</v>
      </c>
      <c r="Y14" s="218">
        <f>Y12</f>
        <v>0</v>
      </c>
      <c r="Z14" s="218">
        <f t="shared" ref="Z14:AC14" si="5">Z12</f>
        <v>0</v>
      </c>
      <c r="AA14" s="218">
        <f t="shared" si="5"/>
        <v>0</v>
      </c>
      <c r="AB14" s="218">
        <f t="shared" si="5"/>
        <v>0</v>
      </c>
      <c r="AC14" s="285">
        <f t="shared" si="5"/>
        <v>0</v>
      </c>
    </row>
    <row r="15" spans="2:30" ht="18" customHeight="1" x14ac:dyDescent="0.25">
      <c r="B15" s="228" t="s">
        <v>291</v>
      </c>
      <c r="C15" s="229" t="s">
        <v>292</v>
      </c>
      <c r="D15" s="256">
        <f>'Haver Pivoted'!GO59</f>
        <v>0</v>
      </c>
      <c r="E15" s="211">
        <f>'Haver Pivoted'!GP59</f>
        <v>0</v>
      </c>
      <c r="F15" s="211">
        <f>'Haver Pivoted'!GQ59</f>
        <v>0</v>
      </c>
      <c r="G15" s="211">
        <f>'Haver Pivoted'!GR59</f>
        <v>0</v>
      </c>
      <c r="H15" s="211">
        <f>'Haver Pivoted'!GS59</f>
        <v>0</v>
      </c>
      <c r="I15" s="211">
        <f>'Haver Pivoted'!GT59</f>
        <v>0</v>
      </c>
      <c r="J15" s="211">
        <f>'Haver Pivoted'!GU59</f>
        <v>6.3</v>
      </c>
      <c r="K15" s="211">
        <f>'Haver Pivoted'!GV59</f>
        <v>26.7</v>
      </c>
      <c r="L15" s="211">
        <f>'Haver Pivoted'!GW59</f>
        <v>82.1</v>
      </c>
      <c r="M15" s="211">
        <f>'Haver Pivoted'!GX59</f>
        <v>94.7</v>
      </c>
      <c r="N15" s="211">
        <f>'Haver Pivoted'!GY59</f>
        <v>92.1</v>
      </c>
      <c r="O15" s="211">
        <f>'Haver Pivoted'!GZ59</f>
        <v>51.6</v>
      </c>
      <c r="P15" s="211">
        <f>'Haver Pivoted'!HA59</f>
        <v>2.8</v>
      </c>
      <c r="Q15" s="211">
        <f>'Haver Pivoted'!HB59</f>
        <v>0.8</v>
      </c>
      <c r="R15" s="211">
        <f>'Haver Pivoted'!HC59</f>
        <v>0.5</v>
      </c>
      <c r="S15" s="217">
        <f>'Haver Pivoted'!HD59</f>
        <v>0.3</v>
      </c>
      <c r="T15" s="284">
        <f>'Haver Pivoted'!HE59</f>
        <v>0.2</v>
      </c>
      <c r="U15" s="284">
        <f>'Haver Pivoted'!HF59</f>
        <v>0</v>
      </c>
      <c r="V15" s="218">
        <f t="shared" ref="V15:AB17" si="6">U15*V$23/U$23</f>
        <v>0</v>
      </c>
      <c r="W15" s="218">
        <f t="shared" si="6"/>
        <v>0</v>
      </c>
      <c r="X15" s="218">
        <f t="shared" si="6"/>
        <v>0</v>
      </c>
      <c r="Y15" s="218">
        <f t="shared" si="6"/>
        <v>0</v>
      </c>
      <c r="Z15" s="218">
        <f t="shared" si="6"/>
        <v>0</v>
      </c>
      <c r="AA15" s="218">
        <f t="shared" si="6"/>
        <v>0</v>
      </c>
      <c r="AB15" s="218">
        <f t="shared" si="6"/>
        <v>0</v>
      </c>
      <c r="AC15" s="285">
        <f>AB15*AC$23/AB$23</f>
        <v>0</v>
      </c>
    </row>
    <row r="16" spans="2:30" ht="18" customHeight="1" x14ac:dyDescent="0.25">
      <c r="B16" s="228" t="s">
        <v>293</v>
      </c>
      <c r="C16" s="229" t="s">
        <v>294</v>
      </c>
      <c r="D16" s="256">
        <f>'Haver Pivoted'!GO60</f>
        <v>0</v>
      </c>
      <c r="E16" s="211">
        <f>'Haver Pivoted'!GP60</f>
        <v>0</v>
      </c>
      <c r="F16" s="211">
        <f>'Haver Pivoted'!GQ60</f>
        <v>0</v>
      </c>
      <c r="G16" s="211">
        <f>'Haver Pivoted'!GR60</f>
        <v>0</v>
      </c>
      <c r="H16" s="211">
        <f>'Haver Pivoted'!GS60</f>
        <v>0</v>
      </c>
      <c r="I16" s="211">
        <f>'Haver Pivoted'!GT60</f>
        <v>0</v>
      </c>
      <c r="J16" s="211">
        <f>'Haver Pivoted'!GU60</f>
        <v>74.400000000000006</v>
      </c>
      <c r="K16" s="211">
        <f>'Haver Pivoted'!GV60</f>
        <v>138.30000000000001</v>
      </c>
      <c r="L16" s="211">
        <f>'Haver Pivoted'!GW60</f>
        <v>106.8</v>
      </c>
      <c r="M16" s="211">
        <f>'Haver Pivoted'!GX60</f>
        <v>89.2</v>
      </c>
      <c r="N16" s="211">
        <f>'Haver Pivoted'!GY60</f>
        <v>72.3</v>
      </c>
      <c r="O16" s="211">
        <f>'Haver Pivoted'!GZ60</f>
        <v>43.5</v>
      </c>
      <c r="P16" s="211">
        <f>'Haver Pivoted'!HA60</f>
        <v>2.1</v>
      </c>
      <c r="Q16" s="211">
        <f>'Haver Pivoted'!HB60</f>
        <v>0.8</v>
      </c>
      <c r="R16" s="211">
        <f>'Haver Pivoted'!HC60</f>
        <v>0.4</v>
      </c>
      <c r="S16" s="217">
        <f>'Haver Pivoted'!HD60</f>
        <v>0.2</v>
      </c>
      <c r="T16" s="284">
        <f>'Haver Pivoted'!HE60</f>
        <v>0.1</v>
      </c>
      <c r="U16" s="284">
        <f>'Haver Pivoted'!HF60</f>
        <v>0</v>
      </c>
      <c r="V16" s="218">
        <f t="shared" si="6"/>
        <v>0</v>
      </c>
      <c r="W16" s="218">
        <f t="shared" si="6"/>
        <v>0</v>
      </c>
      <c r="X16" s="218">
        <f t="shared" si="6"/>
        <v>0</v>
      </c>
      <c r="Y16" s="218">
        <f t="shared" si="6"/>
        <v>0</v>
      </c>
      <c r="Z16" s="218">
        <f t="shared" si="6"/>
        <v>0</v>
      </c>
      <c r="AA16" s="218">
        <f t="shared" si="6"/>
        <v>0</v>
      </c>
      <c r="AB16" s="218">
        <f t="shared" si="6"/>
        <v>0</v>
      </c>
      <c r="AC16" s="285">
        <f>AB16*AC$23/AB$23</f>
        <v>0</v>
      </c>
    </row>
    <row r="17" spans="1:32" ht="18" customHeight="1" x14ac:dyDescent="0.25">
      <c r="B17" s="228" t="s">
        <v>295</v>
      </c>
      <c r="C17" s="229" t="s">
        <v>296</v>
      </c>
      <c r="D17" s="256">
        <f>'Haver Pivoted'!GO61</f>
        <v>0</v>
      </c>
      <c r="E17" s="211">
        <f>'Haver Pivoted'!GP61</f>
        <v>0</v>
      </c>
      <c r="F17" s="211">
        <f>'Haver Pivoted'!GQ61</f>
        <v>0</v>
      </c>
      <c r="G17" s="211">
        <f>'Haver Pivoted'!GR61</f>
        <v>0</v>
      </c>
      <c r="H17" s="211">
        <f>'Haver Pivoted'!GS61</f>
        <v>0</v>
      </c>
      <c r="I17" s="211">
        <f>'Haver Pivoted'!GT61</f>
        <v>0</v>
      </c>
      <c r="J17" s="211">
        <f>'Haver Pivoted'!GU61</f>
        <v>698.9</v>
      </c>
      <c r="K17" s="211">
        <f>'Haver Pivoted'!GV61</f>
        <v>413.9</v>
      </c>
      <c r="L17" s="211">
        <f>'Haver Pivoted'!GW61</f>
        <v>14.7</v>
      </c>
      <c r="M17" s="211">
        <f>'Haver Pivoted'!GX61</f>
        <v>288.2</v>
      </c>
      <c r="N17" s="211">
        <f>'Haver Pivoted'!GY61</f>
        <v>233.3</v>
      </c>
      <c r="O17" s="211">
        <f>'Haver Pivoted'!GZ61</f>
        <v>110.5</v>
      </c>
      <c r="P17" s="211">
        <f>'Haver Pivoted'!HA61</f>
        <v>0</v>
      </c>
      <c r="Q17" s="211">
        <f>'Haver Pivoted'!HB61</f>
        <v>0</v>
      </c>
      <c r="R17" s="211">
        <f>'Haver Pivoted'!HC61</f>
        <v>0</v>
      </c>
      <c r="S17" s="217">
        <f>'Haver Pivoted'!HD61</f>
        <v>0</v>
      </c>
      <c r="T17" s="284">
        <f>'Haver Pivoted'!HE61</f>
        <v>0</v>
      </c>
      <c r="U17" s="284">
        <f>'Haver Pivoted'!HF61</f>
        <v>0</v>
      </c>
      <c r="V17" s="218">
        <f t="shared" si="6"/>
        <v>0</v>
      </c>
      <c r="W17" s="218">
        <f t="shared" si="6"/>
        <v>0</v>
      </c>
      <c r="X17" s="218">
        <f t="shared" si="6"/>
        <v>0</v>
      </c>
      <c r="Y17" s="218">
        <f t="shared" si="6"/>
        <v>0</v>
      </c>
      <c r="Z17" s="218">
        <f t="shared" si="6"/>
        <v>0</v>
      </c>
      <c r="AA17" s="218">
        <f t="shared" si="6"/>
        <v>0</v>
      </c>
      <c r="AB17" s="218">
        <f t="shared" si="6"/>
        <v>0</v>
      </c>
      <c r="AC17" s="285">
        <f>AB17*AC$23/AB$23</f>
        <v>0</v>
      </c>
    </row>
    <row r="18" spans="1:32" x14ac:dyDescent="0.25">
      <c r="B18" s="230" t="s">
        <v>158</v>
      </c>
      <c r="C18" s="222" t="s">
        <v>297</v>
      </c>
      <c r="D18" s="257">
        <f>'Haver Pivoted'!GO64</f>
        <v>0</v>
      </c>
      <c r="E18" s="216">
        <f>'Haver Pivoted'!GP64</f>
        <v>0</v>
      </c>
      <c r="F18" s="216">
        <f>'Haver Pivoted'!GQ64</f>
        <v>0</v>
      </c>
      <c r="G18" s="216">
        <f>'Haver Pivoted'!GR64</f>
        <v>0</v>
      </c>
      <c r="H18" s="216">
        <f>'Haver Pivoted'!GS64</f>
        <v>0</v>
      </c>
      <c r="I18" s="216">
        <f>'Haver Pivoted'!GT64</f>
        <v>0</v>
      </c>
      <c r="J18" s="216">
        <f>'Haver Pivoted'!GU64</f>
        <v>0</v>
      </c>
      <c r="K18" s="216">
        <f>'Haver Pivoted'!GV64</f>
        <v>106.2</v>
      </c>
      <c r="L18" s="216">
        <f>'Haver Pivoted'!GW64</f>
        <v>35.9</v>
      </c>
      <c r="M18" s="216">
        <f>'Haver Pivoted'!GX64</f>
        <v>1.6</v>
      </c>
      <c r="N18" s="216">
        <f>'Haver Pivoted'!GY64</f>
        <v>0.6</v>
      </c>
      <c r="O18" s="216">
        <f>'Haver Pivoted'!GZ64</f>
        <v>0.1</v>
      </c>
      <c r="P18" s="216">
        <f>'Haver Pivoted'!HA64</f>
        <v>0</v>
      </c>
      <c r="Q18" s="211">
        <f>'Haver Pivoted'!HB64</f>
        <v>0</v>
      </c>
      <c r="R18" s="211">
        <f>'Haver Pivoted'!HC64</f>
        <v>0</v>
      </c>
      <c r="S18" s="217">
        <f>'Haver Pivoted'!HD64</f>
        <v>0</v>
      </c>
      <c r="T18" s="284">
        <f>'Haver Pivoted'!HE64</f>
        <v>0</v>
      </c>
      <c r="U18" s="284">
        <f>'Haver Pivoted'!HF64</f>
        <v>0</v>
      </c>
      <c r="V18" s="218"/>
      <c r="W18" s="218"/>
      <c r="X18" s="218"/>
      <c r="Y18" s="218"/>
      <c r="Z18" s="218"/>
      <c r="AA18" s="218"/>
      <c r="AB18" s="218"/>
      <c r="AC18" s="285"/>
    </row>
    <row r="19" spans="1:32" ht="14.85" customHeight="1" x14ac:dyDescent="0.25">
      <c r="B19" s="250" t="s">
        <v>298</v>
      </c>
      <c r="C19" s="237"/>
      <c r="D19" s="244">
        <f t="shared" ref="D19:N19" si="7">D11-D20</f>
        <v>0</v>
      </c>
      <c r="E19" s="209">
        <f t="shared" si="7"/>
        <v>0</v>
      </c>
      <c r="F19" s="209">
        <f t="shared" si="7"/>
        <v>0</v>
      </c>
      <c r="G19" s="209">
        <f t="shared" si="7"/>
        <v>0</v>
      </c>
      <c r="H19" s="209">
        <f t="shared" si="7"/>
        <v>0</v>
      </c>
      <c r="I19" s="209">
        <f t="shared" si="7"/>
        <v>0</v>
      </c>
      <c r="J19" s="209">
        <f t="shared" si="7"/>
        <v>779.80000000000007</v>
      </c>
      <c r="K19" s="209">
        <f t="shared" si="7"/>
        <v>586.29999999999995</v>
      </c>
      <c r="L19" s="209">
        <f t="shared" si="7"/>
        <v>229.4</v>
      </c>
      <c r="M19" s="209">
        <f t="shared" si="7"/>
        <v>523.1</v>
      </c>
      <c r="N19" s="210">
        <f t="shared" si="7"/>
        <v>405.3</v>
      </c>
      <c r="O19" s="210">
        <f>O11-O20</f>
        <v>209.20000000000002</v>
      </c>
      <c r="P19" s="210">
        <f t="shared" ref="P19" si="8">P11-P20</f>
        <v>6.1000000000000014</v>
      </c>
      <c r="Q19" s="210">
        <f>Q11-Q20</f>
        <v>0.19999999999999929</v>
      </c>
      <c r="R19" s="210">
        <f>R11-R20</f>
        <v>1.1000000000000014</v>
      </c>
      <c r="S19" s="277">
        <f>S11-S20</f>
        <v>0.5</v>
      </c>
      <c r="T19" s="283">
        <f>T11-T20</f>
        <v>0.30000000000000071</v>
      </c>
      <c r="U19" s="283">
        <f>U11-U20</f>
        <v>0</v>
      </c>
      <c r="V19" s="219">
        <f t="shared" ref="V19:AC19" si="9">V11-V20</f>
        <v>0</v>
      </c>
      <c r="W19" s="219">
        <f t="shared" si="9"/>
        <v>0</v>
      </c>
      <c r="X19" s="219">
        <f t="shared" si="9"/>
        <v>0</v>
      </c>
      <c r="Y19" s="219">
        <f t="shared" si="9"/>
        <v>0</v>
      </c>
      <c r="Z19" s="219">
        <f t="shared" si="9"/>
        <v>0</v>
      </c>
      <c r="AA19" s="219">
        <f t="shared" si="9"/>
        <v>0</v>
      </c>
      <c r="AB19" s="219">
        <f t="shared" si="9"/>
        <v>0</v>
      </c>
      <c r="AC19" s="219">
        <f t="shared" si="9"/>
        <v>0</v>
      </c>
    </row>
    <row r="20" spans="1:32" ht="14.85" customHeight="1" x14ac:dyDescent="0.25">
      <c r="B20" s="250" t="s">
        <v>299</v>
      </c>
      <c r="C20" s="237"/>
      <c r="D20" s="244">
        <f t="shared" ref="D20:H20" si="10">D11</f>
        <v>27.1</v>
      </c>
      <c r="E20" s="209">
        <f t="shared" si="10"/>
        <v>30.5</v>
      </c>
      <c r="F20" s="209">
        <f t="shared" si="10"/>
        <v>27.7</v>
      </c>
      <c r="G20" s="209">
        <f t="shared" si="10"/>
        <v>25</v>
      </c>
      <c r="H20" s="209">
        <f t="shared" si="10"/>
        <v>26.7</v>
      </c>
      <c r="I20" s="209">
        <f>I11</f>
        <v>40.9</v>
      </c>
      <c r="J20" s="209">
        <f>J11-J13-J12</f>
        <v>171.59999999999994</v>
      </c>
      <c r="K20" s="209">
        <f>K11-K13-K12</f>
        <v>215.99999999999994</v>
      </c>
      <c r="L20" s="209">
        <f>L11-L13-L12</f>
        <v>94.1</v>
      </c>
      <c r="M20" s="209">
        <f>M11-M13-M12</f>
        <v>60.399999999999977</v>
      </c>
      <c r="N20" s="210">
        <f t="shared" ref="N20:U20" si="11">N11-N12-N13</f>
        <v>46.5</v>
      </c>
      <c r="O20" s="210">
        <f t="shared" si="11"/>
        <v>17.599999999999994</v>
      </c>
      <c r="P20" s="210">
        <f t="shared" si="11"/>
        <v>27.799999999999997</v>
      </c>
      <c r="Q20" s="211">
        <f t="shared" si="11"/>
        <v>26</v>
      </c>
      <c r="R20" s="211">
        <f t="shared" si="11"/>
        <v>20.299999999999997</v>
      </c>
      <c r="S20" s="217">
        <f t="shared" si="11"/>
        <v>19.100000000000001</v>
      </c>
      <c r="T20" s="284">
        <f t="shared" si="11"/>
        <v>21.8</v>
      </c>
      <c r="U20" s="284">
        <f t="shared" si="11"/>
        <v>22</v>
      </c>
      <c r="V20" s="219">
        <f t="shared" ref="V20:AB20" si="12">U20*V23/U23</f>
        <v>28.907999999999998</v>
      </c>
      <c r="W20" s="219">
        <f t="shared" si="12"/>
        <v>30.79371428571428</v>
      </c>
      <c r="X20" s="219">
        <f t="shared" si="12"/>
        <v>32.145142857142851</v>
      </c>
      <c r="Y20" s="219">
        <f t="shared" si="12"/>
        <v>32.05085714285714</v>
      </c>
      <c r="Z20" s="219">
        <f t="shared" si="12"/>
        <v>31.07028571428571</v>
      </c>
      <c r="AA20" s="219">
        <f t="shared" si="12"/>
        <v>30.542285714285711</v>
      </c>
      <c r="AB20" s="219">
        <f t="shared" si="12"/>
        <v>30.165142857142857</v>
      </c>
      <c r="AC20" s="282">
        <f>AB20*AC23/AB23</f>
        <v>30.020571428571422</v>
      </c>
      <c r="AD20" s="245" t="s">
        <v>300</v>
      </c>
    </row>
    <row r="21" spans="1:32" x14ac:dyDescent="0.25">
      <c r="B21" s="230"/>
      <c r="C21" s="231"/>
      <c r="D21" s="256"/>
      <c r="E21" s="211"/>
      <c r="F21" s="211"/>
      <c r="G21" s="211"/>
      <c r="H21" s="207"/>
      <c r="I21" s="207"/>
      <c r="J21" s="207"/>
      <c r="K21" s="207"/>
      <c r="L21" s="207"/>
      <c r="M21" s="207"/>
      <c r="N21" s="207"/>
      <c r="O21" s="207"/>
      <c r="P21" s="207"/>
      <c r="Q21" s="207"/>
      <c r="R21" s="207"/>
      <c r="S21" s="207"/>
      <c r="T21" s="294"/>
      <c r="U21" s="207"/>
      <c r="V21" s="218"/>
      <c r="W21" s="218"/>
      <c r="X21" s="218"/>
      <c r="Y21" s="218"/>
      <c r="Z21" s="218"/>
      <c r="AA21" s="218"/>
      <c r="AB21" s="218"/>
      <c r="AC21" s="285"/>
    </row>
    <row r="22" spans="1:32" x14ac:dyDescent="0.25">
      <c r="B22" s="222" t="s">
        <v>1756</v>
      </c>
      <c r="C22" s="231"/>
      <c r="D22" s="211"/>
      <c r="E22" s="211"/>
      <c r="F22" s="211"/>
      <c r="G22" s="211"/>
      <c r="H22" s="207"/>
      <c r="I22" s="207"/>
      <c r="J22" s="207"/>
      <c r="K22" s="207"/>
      <c r="L22" s="207"/>
      <c r="M22" s="207"/>
      <c r="N22" s="207"/>
      <c r="O22" s="207"/>
      <c r="P22" s="207"/>
      <c r="Q22" s="207"/>
      <c r="R22" s="207"/>
      <c r="S22" s="207"/>
      <c r="T22" s="234"/>
      <c r="U22" s="204"/>
      <c r="V22" s="203">
        <v>4.5990000000000002</v>
      </c>
      <c r="W22" s="203">
        <v>4.899</v>
      </c>
      <c r="X22" s="203">
        <v>5.1139999999999999</v>
      </c>
      <c r="Y22" s="203">
        <v>5.0990000000000002</v>
      </c>
      <c r="Z22" s="203">
        <v>4.9429999999999996</v>
      </c>
      <c r="AA22" s="203">
        <v>4.859</v>
      </c>
      <c r="AB22" s="203">
        <v>4.7990000000000004</v>
      </c>
      <c r="AC22" s="203">
        <v>4.7759999999999998</v>
      </c>
    </row>
    <row r="23" spans="1:32" x14ac:dyDescent="0.25">
      <c r="B23" s="230" t="s">
        <v>1817</v>
      </c>
      <c r="C23" s="287"/>
      <c r="D23" s="288"/>
      <c r="E23" s="289"/>
      <c r="F23" s="289"/>
      <c r="G23" s="289"/>
      <c r="H23" s="290"/>
      <c r="I23" s="290"/>
      <c r="J23" s="290"/>
      <c r="K23" s="290"/>
      <c r="L23" s="290"/>
      <c r="M23" s="290">
        <f>GETPIVOTDATA("Monthly UR",$E$28,"Quarters",M24,"Years",M25)</f>
        <v>6.166666666666667</v>
      </c>
      <c r="N23" s="290">
        <f t="shared" ref="N23:U23" si="13">GETPIVOTDATA("Monthly UR",$E$28,"Quarters",N24,"Years",N25)</f>
        <v>5.7666666666666657</v>
      </c>
      <c r="O23" s="290">
        <f t="shared" si="13"/>
        <v>5.1333333333333337</v>
      </c>
      <c r="P23" s="290">
        <f t="shared" si="13"/>
        <v>4.2333333333333334</v>
      </c>
      <c r="Q23" s="290">
        <f t="shared" si="13"/>
        <v>3.8000000000000003</v>
      </c>
      <c r="R23" s="290">
        <f t="shared" si="13"/>
        <v>3.6</v>
      </c>
      <c r="S23" s="290">
        <f t="shared" si="13"/>
        <v>3.5666666666666664</v>
      </c>
      <c r="T23" s="290">
        <f t="shared" si="13"/>
        <v>3.6</v>
      </c>
      <c r="U23" s="290">
        <f t="shared" si="13"/>
        <v>3.5</v>
      </c>
      <c r="V23" s="295">
        <v>4.5990000000000002</v>
      </c>
      <c r="W23" s="295">
        <v>4.899</v>
      </c>
      <c r="X23" s="295">
        <v>5.1139999999999999</v>
      </c>
      <c r="Y23" s="295">
        <v>5.0990000000000002</v>
      </c>
      <c r="Z23" s="295">
        <v>4.9429999999999996</v>
      </c>
      <c r="AA23" s="295">
        <v>4.859</v>
      </c>
      <c r="AB23" s="295">
        <v>4.7990000000000004</v>
      </c>
      <c r="AC23" s="296">
        <v>4.7759999999999998</v>
      </c>
      <c r="AD23" s="204" t="s">
        <v>301</v>
      </c>
    </row>
    <row r="24" spans="1:32" ht="15.75" customHeight="1" x14ac:dyDescent="0.25">
      <c r="B24" s="292" t="s">
        <v>1831</v>
      </c>
      <c r="C24" s="280"/>
      <c r="D24" s="281"/>
      <c r="E24" s="281"/>
      <c r="F24" s="281"/>
      <c r="G24" s="281"/>
      <c r="H24" s="281"/>
      <c r="I24" s="281"/>
      <c r="J24" s="281"/>
      <c r="K24" s="281"/>
      <c r="L24" s="281"/>
      <c r="M24" s="281">
        <v>1</v>
      </c>
      <c r="N24" s="281">
        <v>2</v>
      </c>
      <c r="O24" s="281">
        <v>3</v>
      </c>
      <c r="P24" s="281">
        <v>4</v>
      </c>
      <c r="Q24" s="281">
        <v>1</v>
      </c>
      <c r="R24" s="281">
        <v>2</v>
      </c>
      <c r="S24" s="281">
        <v>3</v>
      </c>
      <c r="T24" s="281">
        <v>4</v>
      </c>
      <c r="U24" s="281">
        <v>1</v>
      </c>
      <c r="V24" s="281">
        <v>2</v>
      </c>
      <c r="W24" s="281">
        <v>3</v>
      </c>
      <c r="X24" s="281">
        <v>4</v>
      </c>
      <c r="Y24" s="281">
        <v>1</v>
      </c>
      <c r="Z24" s="281">
        <v>2</v>
      </c>
      <c r="AA24" s="281">
        <v>3</v>
      </c>
      <c r="AB24" s="281">
        <v>4</v>
      </c>
      <c r="AC24" s="281">
        <v>1</v>
      </c>
      <c r="AD24" s="216">
        <v>2</v>
      </c>
      <c r="AE24" s="216">
        <v>3</v>
      </c>
      <c r="AF24" s="216">
        <v>4</v>
      </c>
    </row>
    <row r="25" spans="1:32" x14ac:dyDescent="0.25">
      <c r="B25" s="293" t="s">
        <v>1832</v>
      </c>
      <c r="C25" s="280"/>
      <c r="D25" s="281"/>
      <c r="E25" s="281"/>
      <c r="F25" s="281"/>
      <c r="G25" s="281"/>
      <c r="H25" s="281"/>
      <c r="I25" s="281"/>
      <c r="J25" s="281"/>
      <c r="K25" s="281"/>
      <c r="L25" s="281"/>
      <c r="M25" s="281">
        <v>2021</v>
      </c>
      <c r="N25" s="281">
        <v>2021</v>
      </c>
      <c r="O25" s="281">
        <v>2021</v>
      </c>
      <c r="P25" s="281">
        <v>2021</v>
      </c>
      <c r="Q25" s="281">
        <v>2022</v>
      </c>
      <c r="R25" s="281">
        <v>2022</v>
      </c>
      <c r="S25" s="281">
        <v>2022</v>
      </c>
      <c r="T25" s="281">
        <v>2022</v>
      </c>
      <c r="U25" s="281">
        <v>2023</v>
      </c>
      <c r="V25" s="281">
        <v>2023</v>
      </c>
      <c r="W25" s="281">
        <v>2023</v>
      </c>
      <c r="X25" s="281">
        <v>2023</v>
      </c>
      <c r="Y25" s="281">
        <v>2024</v>
      </c>
      <c r="Z25" s="281">
        <v>2024</v>
      </c>
      <c r="AA25" s="281">
        <v>2024</v>
      </c>
      <c r="AB25" s="281">
        <v>2024</v>
      </c>
      <c r="AC25" s="281">
        <v>2025</v>
      </c>
      <c r="AD25" s="204"/>
    </row>
    <row r="26" spans="1:32" x14ac:dyDescent="0.25">
      <c r="C26" s="222"/>
      <c r="D26" s="216"/>
      <c r="E26" s="216"/>
      <c r="F26" s="216"/>
      <c r="G26" s="216"/>
      <c r="H26" s="207"/>
      <c r="I26" s="207"/>
      <c r="J26" s="207"/>
      <c r="K26" s="207"/>
      <c r="L26" s="207"/>
      <c r="M26" s="207"/>
      <c r="N26" s="207"/>
      <c r="O26" s="207"/>
      <c r="P26" s="207"/>
      <c r="AD26" s="204"/>
    </row>
    <row r="27" spans="1:32" x14ac:dyDescent="0.25">
      <c r="M27" s="222"/>
      <c r="N27" s="222"/>
      <c r="O27" s="222"/>
    </row>
    <row r="28" spans="1:32" ht="43.5" customHeight="1" x14ac:dyDescent="0.25">
      <c r="B28" s="263" t="s">
        <v>302</v>
      </c>
      <c r="C28" s="264" t="s">
        <v>303</v>
      </c>
      <c r="D28" s="261"/>
      <c r="E28" s="14" t="s">
        <v>1821</v>
      </c>
      <c r="F28" s="14" t="s">
        <v>1826</v>
      </c>
      <c r="G28" s="14"/>
      <c r="H28" s="14"/>
      <c r="I28" s="14"/>
      <c r="J28" s="14"/>
      <c r="O28" s="265"/>
    </row>
    <row r="29" spans="1:32" x14ac:dyDescent="0.25">
      <c r="A29" s="35"/>
      <c r="B29" s="258">
        <v>44197</v>
      </c>
      <c r="C29" s="205">
        <v>6.3</v>
      </c>
      <c r="D29" s="262"/>
      <c r="E29" s="56" t="s">
        <v>1754</v>
      </c>
      <c r="F29" s="35"/>
      <c r="G29" s="35"/>
      <c r="H29" s="73"/>
      <c r="I29" s="35"/>
      <c r="J29" s="73"/>
      <c r="O29" s="222"/>
    </row>
    <row r="30" spans="1:32" x14ac:dyDescent="0.25">
      <c r="A30" s="35"/>
      <c r="B30" s="258">
        <v>44228</v>
      </c>
      <c r="C30" s="205">
        <v>6.2</v>
      </c>
      <c r="D30" s="262"/>
      <c r="E30" s="94" t="s">
        <v>1822</v>
      </c>
      <c r="F30" s="128">
        <v>6.166666666666667</v>
      </c>
      <c r="G30" s="35"/>
      <c r="H30" s="73"/>
      <c r="I30" s="35"/>
      <c r="J30" s="73"/>
      <c r="O30" s="222"/>
    </row>
    <row r="31" spans="1:32" x14ac:dyDescent="0.25">
      <c r="A31" s="35"/>
      <c r="B31" s="258">
        <v>44256</v>
      </c>
      <c r="C31" s="205">
        <v>6</v>
      </c>
      <c r="D31" s="262"/>
      <c r="E31" s="94" t="s">
        <v>1823</v>
      </c>
      <c r="F31" s="128">
        <v>5.7666666666666657</v>
      </c>
      <c r="G31" s="35"/>
      <c r="H31" s="73"/>
      <c r="I31" s="35"/>
      <c r="J31" s="73"/>
      <c r="O31" s="222"/>
    </row>
    <row r="32" spans="1:32" x14ac:dyDescent="0.25">
      <c r="A32" s="35"/>
      <c r="B32" s="258">
        <v>44287</v>
      </c>
      <c r="C32" s="205">
        <v>6.1</v>
      </c>
      <c r="D32" s="262"/>
      <c r="E32" s="94" t="s">
        <v>1824</v>
      </c>
      <c r="F32" s="128">
        <v>5.1333333333333337</v>
      </c>
      <c r="G32" s="35"/>
      <c r="H32" s="73"/>
      <c r="I32" s="35"/>
      <c r="J32" s="73"/>
      <c r="O32" s="222"/>
    </row>
    <row r="33" spans="1:38" x14ac:dyDescent="0.25">
      <c r="A33" s="35"/>
      <c r="B33" s="258">
        <v>44317</v>
      </c>
      <c r="C33" s="205">
        <v>5.8</v>
      </c>
      <c r="D33" s="262"/>
      <c r="E33" s="94" t="s">
        <v>1825</v>
      </c>
      <c r="F33" s="128">
        <v>4.2333333333333334</v>
      </c>
      <c r="G33" s="35"/>
      <c r="H33" s="73"/>
      <c r="I33" s="35"/>
      <c r="J33" s="73"/>
      <c r="O33" s="222"/>
    </row>
    <row r="34" spans="1:38" x14ac:dyDescent="0.25">
      <c r="A34" s="35"/>
      <c r="B34" s="258">
        <v>44348</v>
      </c>
      <c r="C34" s="205">
        <v>5.4</v>
      </c>
      <c r="D34" s="262"/>
      <c r="E34" s="56" t="s">
        <v>1743</v>
      </c>
      <c r="F34" s="128"/>
      <c r="G34" s="35"/>
      <c r="H34" s="73"/>
      <c r="I34" s="35"/>
      <c r="J34" s="73"/>
      <c r="O34" s="222"/>
    </row>
    <row r="35" spans="1:38" x14ac:dyDescent="0.25">
      <c r="A35" s="35"/>
      <c r="B35" s="258">
        <v>44378</v>
      </c>
      <c r="C35" s="205">
        <v>5.4</v>
      </c>
      <c r="D35" s="262"/>
      <c r="E35" s="94" t="s">
        <v>1822</v>
      </c>
      <c r="F35" s="128">
        <v>3.8000000000000003</v>
      </c>
      <c r="G35" s="35"/>
      <c r="H35" s="73"/>
      <c r="I35" s="35"/>
      <c r="J35" s="73"/>
      <c r="O35" s="222"/>
    </row>
    <row r="36" spans="1:38" x14ac:dyDescent="0.25">
      <c r="A36" s="35"/>
      <c r="B36" s="258">
        <v>44409</v>
      </c>
      <c r="C36" s="205">
        <v>5.2</v>
      </c>
      <c r="D36" s="262"/>
      <c r="E36" s="94" t="s">
        <v>1823</v>
      </c>
      <c r="F36" s="128">
        <v>3.6</v>
      </c>
      <c r="G36" s="35"/>
      <c r="H36" s="73"/>
      <c r="I36" s="35"/>
      <c r="J36" s="73"/>
      <c r="O36" s="222"/>
    </row>
    <row r="37" spans="1:38" x14ac:dyDescent="0.25">
      <c r="A37" s="35"/>
      <c r="B37" s="258">
        <v>44440</v>
      </c>
      <c r="C37" s="205">
        <v>4.8</v>
      </c>
      <c r="D37" s="262"/>
      <c r="E37" s="94" t="s">
        <v>1824</v>
      </c>
      <c r="F37" s="128">
        <v>3.5666666666666664</v>
      </c>
      <c r="G37" s="35"/>
      <c r="H37" s="73"/>
      <c r="I37" s="35"/>
      <c r="J37" s="73"/>
      <c r="O37" s="222"/>
    </row>
    <row r="38" spans="1:38" x14ac:dyDescent="0.25">
      <c r="A38" s="35"/>
      <c r="B38" s="258">
        <v>44470</v>
      </c>
      <c r="C38" s="205">
        <v>4.5999999999999996</v>
      </c>
      <c r="D38" s="262"/>
      <c r="E38" s="94" t="s">
        <v>1825</v>
      </c>
      <c r="F38" s="128">
        <v>3.6</v>
      </c>
      <c r="G38" s="35"/>
      <c r="H38" s="73"/>
      <c r="I38" s="35"/>
      <c r="J38" s="73"/>
      <c r="O38" s="222"/>
    </row>
    <row r="39" spans="1:38" x14ac:dyDescent="0.25">
      <c r="A39" s="35"/>
      <c r="B39" s="258">
        <v>44501</v>
      </c>
      <c r="C39" s="205">
        <v>4.2</v>
      </c>
      <c r="D39" s="262"/>
      <c r="E39" s="56" t="s">
        <v>1827</v>
      </c>
      <c r="F39" s="128"/>
      <c r="G39" s="35"/>
      <c r="H39" s="73"/>
      <c r="I39" s="35"/>
      <c r="J39" s="73"/>
      <c r="O39" s="222"/>
      <c r="AD39" s="222"/>
      <c r="AE39" s="222"/>
      <c r="AF39" s="222"/>
      <c r="AG39" s="222"/>
      <c r="AH39" s="222"/>
      <c r="AI39" s="222"/>
      <c r="AJ39" s="222"/>
      <c r="AK39" s="222"/>
      <c r="AL39" s="222"/>
    </row>
    <row r="40" spans="1:38" x14ac:dyDescent="0.25">
      <c r="A40" s="35"/>
      <c r="B40" s="258">
        <v>44531</v>
      </c>
      <c r="C40" s="205">
        <v>3.9</v>
      </c>
      <c r="D40" s="262"/>
      <c r="E40" s="94" t="s">
        <v>1822</v>
      </c>
      <c r="F40" s="128">
        <v>3.5</v>
      </c>
      <c r="G40" s="35"/>
      <c r="H40" s="73"/>
      <c r="I40" s="35"/>
      <c r="J40" s="73"/>
      <c r="O40" s="222"/>
      <c r="AD40" s="222"/>
      <c r="AE40" s="222"/>
      <c r="AF40" s="222"/>
      <c r="AG40" s="222"/>
      <c r="AH40" s="222"/>
      <c r="AI40" s="222"/>
      <c r="AJ40" s="222"/>
      <c r="AK40" s="222"/>
      <c r="AL40" s="222"/>
    </row>
    <row r="41" spans="1:38" x14ac:dyDescent="0.25">
      <c r="A41" s="35"/>
      <c r="B41" s="258">
        <v>44562</v>
      </c>
      <c r="C41" s="205">
        <v>4</v>
      </c>
      <c r="D41" s="35"/>
      <c r="E41" s="94" t="s">
        <v>1823</v>
      </c>
      <c r="F41" s="128"/>
      <c r="G41" s="35"/>
      <c r="H41" s="73"/>
      <c r="I41" s="35"/>
      <c r="J41" s="73"/>
      <c r="O41" s="222"/>
    </row>
    <row r="42" spans="1:38" x14ac:dyDescent="0.25">
      <c r="A42" s="35"/>
      <c r="B42" s="258">
        <v>44593</v>
      </c>
      <c r="C42" s="205">
        <v>3.8</v>
      </c>
      <c r="D42" s="35"/>
      <c r="E42" s="94" t="s">
        <v>1824</v>
      </c>
      <c r="F42" s="128"/>
      <c r="G42" s="35"/>
      <c r="H42" s="73"/>
      <c r="I42" s="35"/>
      <c r="J42" s="73"/>
    </row>
    <row r="43" spans="1:38" x14ac:dyDescent="0.25">
      <c r="A43" s="35"/>
      <c r="B43" s="258">
        <v>44621</v>
      </c>
      <c r="C43" s="205">
        <v>3.6</v>
      </c>
      <c r="D43" s="35"/>
      <c r="E43" s="94" t="s">
        <v>1825</v>
      </c>
      <c r="F43" s="128"/>
      <c r="G43" s="35"/>
      <c r="H43" s="73"/>
      <c r="I43" s="35"/>
      <c r="J43" s="73"/>
    </row>
    <row r="44" spans="1:38" x14ac:dyDescent="0.25">
      <c r="A44" s="35"/>
      <c r="B44" s="258">
        <v>44652</v>
      </c>
      <c r="C44" s="205">
        <v>3.6</v>
      </c>
      <c r="D44" s="35"/>
      <c r="E44" s="56" t="s">
        <v>1828</v>
      </c>
      <c r="F44" s="128"/>
      <c r="G44" s="35"/>
      <c r="H44" s="73"/>
      <c r="I44" s="35"/>
      <c r="J44" s="73"/>
    </row>
    <row r="45" spans="1:38" x14ac:dyDescent="0.25">
      <c r="A45" s="35"/>
      <c r="B45" s="258">
        <v>44682</v>
      </c>
      <c r="C45" s="205">
        <v>3.6</v>
      </c>
      <c r="D45" s="35"/>
      <c r="E45" s="94" t="s">
        <v>1822</v>
      </c>
      <c r="F45" s="128"/>
      <c r="G45" s="35"/>
      <c r="H45" s="73"/>
      <c r="I45" s="35"/>
      <c r="J45" s="73"/>
    </row>
    <row r="46" spans="1:38" x14ac:dyDescent="0.25">
      <c r="A46" s="35"/>
      <c r="B46" s="258">
        <v>44713</v>
      </c>
      <c r="C46" s="205">
        <v>3.6</v>
      </c>
      <c r="D46" s="35"/>
      <c r="E46" s="94" t="s">
        <v>1823</v>
      </c>
      <c r="F46" s="128"/>
      <c r="G46" s="35"/>
      <c r="H46" s="73"/>
      <c r="I46" s="35"/>
      <c r="J46" s="73"/>
    </row>
    <row r="47" spans="1:38" x14ac:dyDescent="0.25">
      <c r="A47" s="35"/>
      <c r="B47" s="258">
        <v>44743</v>
      </c>
      <c r="C47" s="205">
        <v>3.5</v>
      </c>
      <c r="D47" s="35"/>
      <c r="E47" s="94" t="s">
        <v>1824</v>
      </c>
      <c r="F47" s="128"/>
      <c r="G47" s="35"/>
      <c r="H47" s="73"/>
      <c r="I47" s="35"/>
      <c r="J47" s="73"/>
    </row>
    <row r="48" spans="1:38" x14ac:dyDescent="0.25">
      <c r="A48" s="35"/>
      <c r="B48" s="258">
        <v>44774</v>
      </c>
      <c r="C48" s="205">
        <v>3.7</v>
      </c>
      <c r="D48" s="35"/>
      <c r="E48" s="94" t="s">
        <v>1825</v>
      </c>
      <c r="F48" s="128"/>
      <c r="G48" s="35"/>
      <c r="H48" s="73"/>
      <c r="I48" s="35"/>
      <c r="J48" s="73"/>
    </row>
    <row r="49" spans="2:10" x14ac:dyDescent="0.25">
      <c r="B49" s="258">
        <v>44805</v>
      </c>
      <c r="C49" s="205">
        <v>3.5</v>
      </c>
      <c r="D49" s="35"/>
      <c r="E49" s="56" t="s">
        <v>1829</v>
      </c>
      <c r="F49" s="128"/>
      <c r="G49" s="35"/>
      <c r="H49" s="35"/>
      <c r="I49" s="35"/>
      <c r="J49" s="35"/>
    </row>
    <row r="50" spans="2:10" x14ac:dyDescent="0.25">
      <c r="B50" s="258">
        <v>44835</v>
      </c>
      <c r="C50" s="205">
        <v>3.7</v>
      </c>
      <c r="D50" s="35"/>
      <c r="E50" s="94" t="s">
        <v>1822</v>
      </c>
      <c r="F50" s="128"/>
      <c r="G50" s="35"/>
      <c r="H50" s="35"/>
      <c r="I50" s="35"/>
      <c r="J50" s="35"/>
    </row>
    <row r="51" spans="2:10" x14ac:dyDescent="0.25">
      <c r="B51" s="258">
        <v>44866</v>
      </c>
      <c r="C51" s="205">
        <v>3.6</v>
      </c>
      <c r="D51" s="35"/>
      <c r="E51" s="94" t="s">
        <v>1823</v>
      </c>
      <c r="F51" s="128"/>
      <c r="G51" s="35"/>
      <c r="H51" s="35"/>
      <c r="I51" s="35"/>
      <c r="J51" s="35"/>
    </row>
    <row r="52" spans="2:10" x14ac:dyDescent="0.25">
      <c r="B52" s="258">
        <v>44896</v>
      </c>
      <c r="C52" s="205">
        <v>3.5</v>
      </c>
      <c r="D52" s="35"/>
      <c r="E52" s="94" t="s">
        <v>1824</v>
      </c>
      <c r="F52" s="128"/>
      <c r="G52" s="35"/>
      <c r="H52" s="35"/>
      <c r="I52" s="35"/>
      <c r="J52" s="35"/>
    </row>
    <row r="53" spans="2:10" x14ac:dyDescent="0.25">
      <c r="B53" s="258">
        <v>44927</v>
      </c>
      <c r="C53" s="205">
        <v>3.4</v>
      </c>
      <c r="D53" s="35"/>
      <c r="E53" s="94" t="s">
        <v>1825</v>
      </c>
      <c r="F53" s="128"/>
      <c r="G53" s="35"/>
      <c r="H53" s="35"/>
      <c r="I53" s="35"/>
      <c r="J53" s="35"/>
    </row>
    <row r="54" spans="2:10" x14ac:dyDescent="0.25">
      <c r="B54" s="258">
        <v>44958</v>
      </c>
      <c r="C54" s="205">
        <v>3.6</v>
      </c>
      <c r="D54" s="35"/>
      <c r="E54" s="56" t="s">
        <v>1830</v>
      </c>
      <c r="F54" s="128"/>
      <c r="G54" s="35"/>
      <c r="H54" s="35"/>
      <c r="I54" s="35"/>
      <c r="J54" s="35"/>
    </row>
    <row r="55" spans="2:10" x14ac:dyDescent="0.25">
      <c r="B55" s="258">
        <v>44986</v>
      </c>
      <c r="C55" s="205">
        <v>3.5</v>
      </c>
      <c r="D55" s="35"/>
      <c r="E55" s="94" t="s">
        <v>1822</v>
      </c>
      <c r="F55" s="128"/>
      <c r="G55" s="35"/>
      <c r="H55" s="35"/>
      <c r="I55" s="35"/>
      <c r="J55" s="35"/>
    </row>
    <row r="56" spans="2:10" x14ac:dyDescent="0.25">
      <c r="B56" s="258">
        <v>45017</v>
      </c>
      <c r="C56" s="205"/>
      <c r="D56" s="35"/>
      <c r="E56" s="94" t="s">
        <v>1823</v>
      </c>
      <c r="F56" s="128"/>
      <c r="G56" s="35"/>
      <c r="H56" s="35"/>
      <c r="I56" s="35"/>
      <c r="J56" s="35"/>
    </row>
    <row r="57" spans="2:10" x14ac:dyDescent="0.25">
      <c r="B57" s="258">
        <v>45047</v>
      </c>
      <c r="C57" s="205"/>
      <c r="D57" s="35"/>
      <c r="E57" s="94" t="s">
        <v>1824</v>
      </c>
      <c r="F57" s="128"/>
      <c r="G57" s="35"/>
      <c r="H57" s="35"/>
      <c r="I57" s="35"/>
      <c r="J57" s="35"/>
    </row>
    <row r="58" spans="2:10" x14ac:dyDescent="0.25">
      <c r="B58" s="258">
        <v>45078</v>
      </c>
      <c r="C58" s="205"/>
      <c r="D58" s="35"/>
      <c r="E58" s="94" t="s">
        <v>1825</v>
      </c>
      <c r="F58" s="128"/>
      <c r="G58" s="35"/>
      <c r="H58" s="35"/>
      <c r="I58" s="35"/>
      <c r="J58" s="35"/>
    </row>
    <row r="59" spans="2:10" x14ac:dyDescent="0.25">
      <c r="B59" s="258">
        <v>45108</v>
      </c>
      <c r="C59" s="205"/>
      <c r="D59" s="35"/>
      <c r="E59" s="35"/>
      <c r="F59" s="35"/>
      <c r="G59" s="35"/>
      <c r="H59" s="35"/>
      <c r="I59" s="35"/>
      <c r="J59" s="35"/>
    </row>
    <row r="60" spans="2:10" x14ac:dyDescent="0.25">
      <c r="B60" s="258">
        <v>45139</v>
      </c>
      <c r="C60" s="205"/>
      <c r="D60" s="35"/>
      <c r="E60" s="35"/>
      <c r="F60" s="35"/>
      <c r="G60" s="35"/>
      <c r="H60" s="35"/>
      <c r="I60" s="35"/>
      <c r="J60" s="35"/>
    </row>
    <row r="61" spans="2:10" x14ac:dyDescent="0.25">
      <c r="B61" s="258">
        <v>45170</v>
      </c>
      <c r="C61" s="205"/>
      <c r="D61" s="35"/>
      <c r="E61" s="35"/>
      <c r="F61" s="35"/>
      <c r="G61" s="35"/>
      <c r="H61" s="35"/>
      <c r="I61" s="35"/>
      <c r="J61" s="35"/>
    </row>
    <row r="62" spans="2:10" x14ac:dyDescent="0.25">
      <c r="B62" s="258">
        <v>45200</v>
      </c>
      <c r="C62" s="205"/>
      <c r="D62" s="35"/>
      <c r="E62" s="35"/>
      <c r="F62" s="35"/>
      <c r="G62" s="35"/>
      <c r="H62" s="35"/>
      <c r="I62" s="35"/>
      <c r="J62" s="35"/>
    </row>
    <row r="63" spans="2:10" x14ac:dyDescent="0.25">
      <c r="B63" s="258">
        <v>45231</v>
      </c>
      <c r="C63" s="205"/>
      <c r="D63" s="35"/>
      <c r="E63" s="35"/>
      <c r="F63" s="35"/>
      <c r="G63" s="35"/>
      <c r="H63" s="35"/>
      <c r="I63" s="35"/>
      <c r="J63" s="35"/>
    </row>
    <row r="64" spans="2:10" x14ac:dyDescent="0.25">
      <c r="B64" s="258">
        <v>45261</v>
      </c>
      <c r="C64" s="205"/>
      <c r="D64" s="35"/>
      <c r="E64" s="35"/>
      <c r="F64" s="35"/>
      <c r="G64" s="35"/>
      <c r="H64" s="35"/>
      <c r="I64" s="35"/>
      <c r="J64" s="35"/>
    </row>
    <row r="65" spans="2:10" x14ac:dyDescent="0.25">
      <c r="B65" s="258">
        <v>45292</v>
      </c>
      <c r="C65" s="205"/>
      <c r="D65" s="35"/>
      <c r="E65" s="35"/>
      <c r="F65" s="35"/>
      <c r="G65" s="35"/>
      <c r="H65" s="35"/>
      <c r="I65" s="35"/>
      <c r="J65" s="35"/>
    </row>
    <row r="66" spans="2:10" x14ac:dyDescent="0.25">
      <c r="B66" s="258">
        <v>45323</v>
      </c>
      <c r="C66" s="205"/>
      <c r="D66" s="35"/>
      <c r="E66" s="35"/>
      <c r="F66" s="35"/>
      <c r="G66" s="35"/>
      <c r="H66" s="35"/>
      <c r="I66" s="35"/>
      <c r="J66" s="35"/>
    </row>
    <row r="67" spans="2:10" x14ac:dyDescent="0.25">
      <c r="B67" s="258">
        <v>45352</v>
      </c>
      <c r="C67" s="205"/>
      <c r="D67" s="35"/>
      <c r="E67" s="35"/>
      <c r="F67" s="35"/>
      <c r="G67" s="35"/>
      <c r="H67" s="35"/>
      <c r="I67" s="35"/>
      <c r="J67" s="35"/>
    </row>
    <row r="68" spans="2:10" x14ac:dyDescent="0.25">
      <c r="B68" s="258">
        <v>45383</v>
      </c>
      <c r="C68" s="205"/>
      <c r="D68" s="35"/>
      <c r="E68" s="35"/>
      <c r="F68" s="35"/>
      <c r="G68" s="35"/>
      <c r="H68" s="35"/>
      <c r="I68" s="35"/>
      <c r="J68" s="35"/>
    </row>
    <row r="69" spans="2:10" x14ac:dyDescent="0.25">
      <c r="B69" s="258">
        <v>45413</v>
      </c>
      <c r="C69" s="205"/>
      <c r="D69" s="35"/>
      <c r="E69" s="35"/>
      <c r="F69" s="35"/>
      <c r="G69" s="35"/>
      <c r="H69" s="35"/>
      <c r="I69" s="35"/>
      <c r="J69" s="35"/>
    </row>
    <row r="70" spans="2:10" x14ac:dyDescent="0.25">
      <c r="B70" s="258">
        <v>45444</v>
      </c>
      <c r="C70" s="205"/>
      <c r="D70" s="35"/>
      <c r="E70" s="35"/>
      <c r="F70" s="35"/>
      <c r="G70" s="35"/>
      <c r="H70" s="35"/>
      <c r="I70" s="35"/>
      <c r="J70" s="35"/>
    </row>
    <row r="71" spans="2:10" x14ac:dyDescent="0.25">
      <c r="B71" s="258">
        <v>45474</v>
      </c>
      <c r="C71" s="205"/>
      <c r="D71" s="35"/>
      <c r="E71" s="35"/>
      <c r="F71" s="35"/>
      <c r="G71" s="35"/>
      <c r="H71" s="35"/>
      <c r="I71" s="35"/>
      <c r="J71" s="35"/>
    </row>
    <row r="72" spans="2:10" x14ac:dyDescent="0.25">
      <c r="B72" s="258">
        <v>45505</v>
      </c>
      <c r="C72" s="205"/>
      <c r="D72" s="35"/>
      <c r="E72" s="35"/>
      <c r="F72" s="35"/>
      <c r="G72" s="35"/>
      <c r="H72" s="35"/>
      <c r="I72" s="35"/>
      <c r="J72" s="35"/>
    </row>
    <row r="73" spans="2:10" x14ac:dyDescent="0.25">
      <c r="B73" s="258">
        <v>45536</v>
      </c>
      <c r="C73" s="205"/>
      <c r="D73" s="35"/>
      <c r="E73" s="35"/>
      <c r="F73" s="35"/>
      <c r="G73" s="35"/>
      <c r="H73" s="35"/>
      <c r="I73" s="35"/>
      <c r="J73" s="35"/>
    </row>
    <row r="74" spans="2:10" x14ac:dyDescent="0.25">
      <c r="B74" s="258">
        <v>45566</v>
      </c>
      <c r="C74" s="205"/>
      <c r="D74" s="35"/>
      <c r="E74" s="35"/>
      <c r="F74" s="35"/>
      <c r="G74" s="35"/>
      <c r="H74" s="35"/>
      <c r="I74" s="35"/>
      <c r="J74" s="35"/>
    </row>
    <row r="75" spans="2:10" x14ac:dyDescent="0.25">
      <c r="B75" s="258">
        <v>45597</v>
      </c>
      <c r="C75" s="205"/>
      <c r="D75" s="35"/>
      <c r="E75" s="35"/>
      <c r="F75" s="35"/>
      <c r="G75" s="35"/>
      <c r="H75" s="35"/>
      <c r="I75" s="35"/>
      <c r="J75" s="35"/>
    </row>
    <row r="76" spans="2:10" x14ac:dyDescent="0.25">
      <c r="B76" s="258">
        <v>45627</v>
      </c>
      <c r="C76" s="205"/>
      <c r="D76" s="35"/>
      <c r="E76" s="35"/>
      <c r="F76" s="35"/>
      <c r="G76" s="35"/>
      <c r="H76" s="35"/>
      <c r="I76" s="35"/>
      <c r="J76" s="35"/>
    </row>
    <row r="77" spans="2:10" x14ac:dyDescent="0.25">
      <c r="B77" s="258">
        <v>45658</v>
      </c>
      <c r="C77" s="205"/>
      <c r="D77" s="35"/>
      <c r="E77" s="35"/>
      <c r="F77" s="35"/>
      <c r="G77" s="35"/>
      <c r="H77" s="35"/>
      <c r="I77" s="35"/>
      <c r="J77" s="35"/>
    </row>
    <row r="78" spans="2:10" x14ac:dyDescent="0.25">
      <c r="B78" s="258">
        <v>45689</v>
      </c>
      <c r="C78" s="205"/>
      <c r="D78" s="35"/>
      <c r="E78" s="35"/>
      <c r="F78" s="35"/>
      <c r="G78" s="35"/>
      <c r="H78" s="35"/>
      <c r="I78" s="35"/>
      <c r="J78" s="35"/>
    </row>
    <row r="79" spans="2:10" x14ac:dyDescent="0.25">
      <c r="B79" s="258">
        <v>45717</v>
      </c>
      <c r="C79" s="205"/>
      <c r="D79" s="35"/>
      <c r="E79" s="35"/>
      <c r="F79" s="35"/>
      <c r="G79" s="35"/>
      <c r="H79" s="35"/>
      <c r="I79" s="35"/>
      <c r="J79" s="35"/>
    </row>
    <row r="80" spans="2:10" x14ac:dyDescent="0.25">
      <c r="B80" s="258">
        <v>45748</v>
      </c>
      <c r="C80" s="205"/>
      <c r="D80" s="35"/>
      <c r="E80" s="35"/>
      <c r="F80" s="35"/>
      <c r="G80" s="35"/>
      <c r="H80" s="35"/>
      <c r="I80" s="35"/>
      <c r="J80" s="35"/>
    </row>
    <row r="81" spans="2:10" x14ac:dyDescent="0.25">
      <c r="B81" s="258">
        <v>45778</v>
      </c>
      <c r="C81" s="205"/>
      <c r="D81" s="35"/>
      <c r="E81" s="35"/>
      <c r="F81" s="35"/>
      <c r="G81" s="35"/>
      <c r="H81" s="35"/>
      <c r="I81" s="35"/>
      <c r="J81" s="35"/>
    </row>
    <row r="82" spans="2:10" x14ac:dyDescent="0.25">
      <c r="B82" s="258">
        <v>45809</v>
      </c>
      <c r="C82" s="205"/>
      <c r="D82" s="35"/>
      <c r="E82" s="35"/>
      <c r="F82" s="35"/>
      <c r="G82" s="35"/>
      <c r="H82" s="35"/>
      <c r="I82" s="35"/>
      <c r="J82" s="35"/>
    </row>
    <row r="83" spans="2:10" x14ac:dyDescent="0.25">
      <c r="B83" s="258">
        <v>45839</v>
      </c>
      <c r="C83" s="205"/>
      <c r="D83" s="35"/>
      <c r="E83" s="35"/>
      <c r="F83" s="35"/>
      <c r="G83" s="35"/>
      <c r="H83" s="35"/>
      <c r="I83" s="35"/>
      <c r="J83" s="35"/>
    </row>
    <row r="84" spans="2:10" x14ac:dyDescent="0.25">
      <c r="B84" s="258">
        <v>45870</v>
      </c>
      <c r="C84" s="205"/>
      <c r="D84" s="35"/>
      <c r="E84" s="35"/>
      <c r="F84" s="35"/>
      <c r="G84" s="35"/>
      <c r="H84" s="35"/>
      <c r="I84" s="35"/>
      <c r="J84" s="35"/>
    </row>
    <row r="85" spans="2:10" x14ac:dyDescent="0.25">
      <c r="B85" s="258">
        <v>45901</v>
      </c>
      <c r="C85" s="205"/>
      <c r="D85" s="35"/>
      <c r="E85" s="35"/>
      <c r="F85" s="35"/>
      <c r="G85" s="35"/>
      <c r="H85" s="35"/>
      <c r="I85" s="35"/>
      <c r="J85" s="35"/>
    </row>
    <row r="86" spans="2:10" x14ac:dyDescent="0.25">
      <c r="B86" s="258">
        <v>45931</v>
      </c>
      <c r="C86" s="205"/>
      <c r="D86" s="35"/>
      <c r="E86" s="35"/>
      <c r="F86" s="35"/>
      <c r="G86" s="35"/>
      <c r="H86" s="35"/>
      <c r="I86" s="35"/>
      <c r="J86" s="35"/>
    </row>
    <row r="87" spans="2:10" x14ac:dyDescent="0.25">
      <c r="B87" s="258">
        <v>45962</v>
      </c>
      <c r="C87" s="205"/>
      <c r="D87" s="35"/>
      <c r="E87" s="35"/>
      <c r="F87" s="35"/>
      <c r="G87" s="35"/>
      <c r="H87" s="35"/>
      <c r="I87" s="35"/>
      <c r="J87" s="35"/>
    </row>
    <row r="88" spans="2:10" x14ac:dyDescent="0.25">
      <c r="B88" s="258">
        <v>45992</v>
      </c>
      <c r="C88" s="205"/>
      <c r="D88" s="35"/>
      <c r="E88" s="35"/>
      <c r="F88" s="35"/>
      <c r="G88" s="35"/>
      <c r="H88" s="35"/>
      <c r="I88" s="35"/>
      <c r="J88" s="35"/>
    </row>
    <row r="89" spans="2:10" x14ac:dyDescent="0.25">
      <c r="B89" s="258">
        <v>46023</v>
      </c>
      <c r="C89" s="205"/>
      <c r="D89" s="35"/>
      <c r="E89" s="35"/>
      <c r="F89" s="35"/>
      <c r="G89" s="35"/>
      <c r="H89" s="35"/>
      <c r="I89" s="35"/>
      <c r="J89" s="35"/>
    </row>
    <row r="90" spans="2:10" x14ac:dyDescent="0.25">
      <c r="B90" s="258">
        <v>46054</v>
      </c>
      <c r="C90" s="205"/>
      <c r="D90" s="35"/>
      <c r="E90" s="35"/>
      <c r="F90" s="35"/>
      <c r="G90" s="35"/>
      <c r="H90" s="35"/>
      <c r="I90" s="35"/>
      <c r="J90" s="35"/>
    </row>
    <row r="91" spans="2:10" x14ac:dyDescent="0.25">
      <c r="B91" s="258">
        <v>46082</v>
      </c>
      <c r="C91" s="205"/>
      <c r="D91" s="35"/>
      <c r="E91" s="35"/>
      <c r="F91" s="35"/>
      <c r="G91" s="35"/>
      <c r="H91" s="35"/>
      <c r="I91" s="35"/>
      <c r="J91" s="35"/>
    </row>
    <row r="92" spans="2:10" x14ac:dyDescent="0.25">
      <c r="B92" s="258">
        <v>46113</v>
      </c>
      <c r="C92" s="205"/>
      <c r="D92" s="35"/>
      <c r="E92" s="35"/>
      <c r="F92" s="35"/>
      <c r="G92" s="35"/>
      <c r="H92" s="35"/>
      <c r="I92" s="35"/>
      <c r="J92" s="35"/>
    </row>
    <row r="93" spans="2:10" x14ac:dyDescent="0.25">
      <c r="B93" s="258">
        <v>46143</v>
      </c>
      <c r="C93" s="205"/>
      <c r="D93" s="35"/>
      <c r="E93" s="35"/>
      <c r="F93" s="35"/>
      <c r="G93" s="35"/>
      <c r="H93" s="35"/>
      <c r="I93" s="35"/>
      <c r="J93" s="35"/>
    </row>
    <row r="94" spans="2:10" x14ac:dyDescent="0.25">
      <c r="B94" s="258">
        <v>46174</v>
      </c>
      <c r="C94" s="205"/>
      <c r="D94" s="35"/>
      <c r="E94" s="35"/>
      <c r="F94" s="35"/>
      <c r="G94" s="35"/>
      <c r="H94" s="35"/>
      <c r="I94" s="35"/>
      <c r="J94" s="35"/>
    </row>
    <row r="95" spans="2:10" x14ac:dyDescent="0.25">
      <c r="B95" s="258">
        <v>46204</v>
      </c>
      <c r="C95" s="205"/>
      <c r="D95" s="35"/>
      <c r="E95" s="35"/>
      <c r="F95" s="35"/>
      <c r="G95" s="35"/>
      <c r="H95" s="35"/>
      <c r="I95" s="35"/>
      <c r="J95" s="35"/>
    </row>
    <row r="96" spans="2:10" x14ac:dyDescent="0.25">
      <c r="B96" s="258">
        <v>46235</v>
      </c>
      <c r="C96" s="205"/>
      <c r="D96" s="35"/>
      <c r="E96" s="35"/>
      <c r="F96" s="35"/>
      <c r="G96" s="35"/>
      <c r="H96" s="35"/>
      <c r="I96" s="35"/>
      <c r="J96" s="35"/>
    </row>
    <row r="97" spans="2:10" x14ac:dyDescent="0.25">
      <c r="B97" s="258">
        <v>46266</v>
      </c>
      <c r="C97" s="205"/>
      <c r="D97" s="35"/>
      <c r="E97" s="35"/>
      <c r="F97" s="35"/>
      <c r="G97" s="35"/>
      <c r="H97" s="35"/>
      <c r="I97" s="35"/>
      <c r="J97" s="35"/>
    </row>
    <row r="98" spans="2:10" x14ac:dyDescent="0.25">
      <c r="B98" s="258">
        <v>46296</v>
      </c>
      <c r="C98" s="205"/>
      <c r="D98" s="35"/>
      <c r="E98" s="35"/>
      <c r="F98" s="35"/>
      <c r="G98" s="35"/>
      <c r="H98" s="35"/>
      <c r="I98" s="35"/>
      <c r="J98" s="35"/>
    </row>
    <row r="99" spans="2:10" x14ac:dyDescent="0.25">
      <c r="B99" s="258">
        <v>46327</v>
      </c>
      <c r="C99" s="205"/>
      <c r="D99" s="35"/>
      <c r="E99" s="35"/>
      <c r="F99" s="35"/>
      <c r="G99" s="35"/>
      <c r="H99" s="35"/>
      <c r="I99" s="35"/>
      <c r="J99" s="35"/>
    </row>
    <row r="100" spans="2:10" x14ac:dyDescent="0.25">
      <c r="B100" s="259">
        <v>46357</v>
      </c>
      <c r="C100" s="206"/>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topLeftCell="M3" zoomScale="80" zoomScaleNormal="80" workbookViewId="0">
      <selection activeCell="X9" sqref="X9"/>
    </sheetView>
  </sheetViews>
  <sheetFormatPr defaultColWidth="10.8554687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33" width="8.140625" customWidth="1"/>
    <col min="34" max="34" width="29.42578125" customWidth="1"/>
    <col min="35" max="35" width="31.140625" customWidth="1"/>
    <col min="36" max="36" width="114.85546875" customWidth="1"/>
  </cols>
  <sheetData>
    <row r="1" spans="2:38" x14ac:dyDescent="0.25">
      <c r="B1" s="1357" t="s">
        <v>192</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93"/>
      <c r="AA1" s="193"/>
      <c r="AB1" s="193"/>
      <c r="AC1" s="193"/>
      <c r="AD1" s="193"/>
      <c r="AE1" s="193"/>
      <c r="AF1" s="193"/>
      <c r="AG1" s="193"/>
      <c r="AH1" s="182"/>
      <c r="AI1" s="182"/>
    </row>
    <row r="2" spans="2:38" ht="14.25" customHeight="1" x14ac:dyDescent="0.25">
      <c r="B2" s="1358" t="s">
        <v>332</v>
      </c>
      <c r="C2" s="1358"/>
      <c r="D2" s="1358"/>
      <c r="E2" s="1358"/>
      <c r="F2" s="1358"/>
      <c r="G2" s="1358"/>
      <c r="H2" s="1358"/>
      <c r="I2" s="1358"/>
      <c r="J2" s="1358"/>
      <c r="K2" s="1358"/>
      <c r="L2" s="1358"/>
      <c r="M2" s="1358"/>
      <c r="N2" s="1358"/>
      <c r="O2" s="1358"/>
      <c r="P2" s="1358"/>
      <c r="Q2" s="1358"/>
      <c r="R2" s="1358"/>
      <c r="S2" s="1358"/>
      <c r="T2" s="1358"/>
      <c r="U2" s="1358"/>
      <c r="V2" s="1358"/>
      <c r="W2" s="1358"/>
      <c r="X2" s="1358"/>
      <c r="Y2" s="1358"/>
      <c r="Z2" s="1358"/>
      <c r="AA2" s="1358"/>
      <c r="AB2" s="1358"/>
      <c r="AC2" s="1358"/>
      <c r="AD2" s="194"/>
      <c r="AE2" s="194"/>
      <c r="AF2" s="194"/>
      <c r="AG2" s="194"/>
      <c r="AH2" s="194"/>
      <c r="AI2" s="194"/>
    </row>
    <row r="3" spans="2:38" ht="50.85" customHeight="1" x14ac:dyDescent="0.25">
      <c r="B3" s="1358"/>
      <c r="C3" s="1358"/>
      <c r="D3" s="1358"/>
      <c r="E3" s="1358"/>
      <c r="F3" s="1358"/>
      <c r="G3" s="1358"/>
      <c r="H3" s="1358"/>
      <c r="I3" s="1358"/>
      <c r="J3" s="1358"/>
      <c r="K3" s="1358"/>
      <c r="L3" s="1358"/>
      <c r="M3" s="1358"/>
      <c r="N3" s="1358"/>
      <c r="O3" s="1358"/>
      <c r="P3" s="1358"/>
      <c r="Q3" s="1358"/>
      <c r="R3" s="1358"/>
      <c r="S3" s="1358"/>
      <c r="T3" s="1358"/>
      <c r="U3" s="1358"/>
      <c r="V3" s="1358"/>
      <c r="W3" s="1358"/>
      <c r="X3" s="1358"/>
      <c r="Y3" s="1358"/>
      <c r="Z3" s="1358"/>
      <c r="AA3" s="1358"/>
      <c r="AB3" s="1358"/>
      <c r="AC3" s="1358"/>
      <c r="AD3" s="194"/>
      <c r="AE3" s="194"/>
      <c r="AF3" s="194"/>
      <c r="AG3" s="194"/>
      <c r="AH3" s="194"/>
      <c r="AI3" s="194"/>
    </row>
    <row r="4" spans="2:38" ht="5.25" customHeight="1" x14ac:dyDescent="0.25">
      <c r="B4" s="1358"/>
      <c r="C4" s="1358"/>
      <c r="D4" s="1358"/>
      <c r="E4" s="1358"/>
      <c r="F4" s="1358"/>
      <c r="G4" s="1358"/>
      <c r="H4" s="1358"/>
      <c r="I4" s="1358"/>
      <c r="J4" s="1358"/>
      <c r="K4" s="1358"/>
      <c r="L4" s="1358"/>
      <c r="M4" s="1358"/>
      <c r="N4" s="1358"/>
      <c r="O4" s="1358"/>
      <c r="P4" s="1358"/>
      <c r="Q4" s="1358"/>
      <c r="R4" s="1358"/>
      <c r="S4" s="1358"/>
      <c r="T4" s="1358"/>
      <c r="U4" s="1358"/>
      <c r="V4" s="1358"/>
      <c r="W4" s="1358"/>
      <c r="X4" s="1358"/>
      <c r="Y4" s="1358"/>
      <c r="Z4" s="1358"/>
      <c r="AA4" s="1358"/>
      <c r="AB4" s="1358"/>
      <c r="AC4" s="1358"/>
      <c r="AD4" s="194"/>
      <c r="AE4" s="194"/>
      <c r="AF4" s="194"/>
      <c r="AG4" s="194"/>
      <c r="AH4" s="194"/>
      <c r="AI4" s="194"/>
    </row>
    <row r="5" spans="2:38" x14ac:dyDescent="0.25">
      <c r="B5" s="387" t="s">
        <v>333</v>
      </c>
    </row>
    <row r="6" spans="2:38" ht="14.85" customHeight="1" x14ac:dyDescent="0.25">
      <c r="B6" s="1362" t="s">
        <v>334</v>
      </c>
      <c r="C6" s="1363"/>
      <c r="D6" s="1366" t="s">
        <v>280</v>
      </c>
      <c r="E6" s="1379"/>
      <c r="F6" s="1379"/>
      <c r="G6" s="1379"/>
      <c r="H6" s="1379"/>
      <c r="I6" s="1379"/>
      <c r="J6" s="1379"/>
      <c r="K6" s="1379"/>
      <c r="L6" s="1379"/>
      <c r="M6" s="1379"/>
      <c r="N6" s="1379"/>
      <c r="O6" s="1379"/>
      <c r="P6" s="1379"/>
      <c r="Q6" s="1379"/>
      <c r="R6" s="1379"/>
      <c r="S6" s="1379"/>
      <c r="T6" s="1379"/>
      <c r="U6" s="1380"/>
      <c r="V6" s="1365"/>
      <c r="W6" s="1408" t="s">
        <v>281</v>
      </c>
      <c r="X6" s="1377"/>
      <c r="Y6" s="1377"/>
      <c r="Z6" s="1377"/>
      <c r="AA6" s="1377"/>
      <c r="AB6" s="1377"/>
      <c r="AC6" s="1377"/>
      <c r="AD6" s="1377"/>
      <c r="AE6" s="1377"/>
      <c r="AF6" s="1377"/>
      <c r="AG6" s="1409"/>
      <c r="AH6" s="1404" t="s">
        <v>335</v>
      </c>
      <c r="AI6" s="1407" t="s">
        <v>336</v>
      </c>
    </row>
    <row r="7" spans="2:38" ht="24" customHeight="1" x14ac:dyDescent="0.25">
      <c r="B7" s="1364"/>
      <c r="C7" s="1365"/>
      <c r="D7" s="195">
        <v>2018</v>
      </c>
      <c r="E7" s="1359">
        <v>2019</v>
      </c>
      <c r="F7" s="1360"/>
      <c r="G7" s="1360"/>
      <c r="H7" s="1361"/>
      <c r="I7" s="1359">
        <v>2020</v>
      </c>
      <c r="J7" s="1360"/>
      <c r="K7" s="1360"/>
      <c r="L7" s="1360"/>
      <c r="M7" s="1359">
        <v>2021</v>
      </c>
      <c r="N7" s="1360"/>
      <c r="O7" s="1360"/>
      <c r="P7" s="1360"/>
      <c r="Q7" s="1371">
        <v>2022</v>
      </c>
      <c r="R7" s="1403"/>
      <c r="S7" s="1403"/>
      <c r="T7" s="1403"/>
      <c r="U7" s="322"/>
      <c r="V7" s="323">
        <v>2023</v>
      </c>
      <c r="W7" s="324"/>
      <c r="X7" s="325"/>
      <c r="Y7" s="1368">
        <v>2024</v>
      </c>
      <c r="Z7" s="1369"/>
      <c r="AA7" s="1369"/>
      <c r="AB7" s="1370"/>
      <c r="AC7" s="1368">
        <v>2025</v>
      </c>
      <c r="AD7" s="1369"/>
      <c r="AE7" s="1369"/>
      <c r="AF7" s="1370"/>
      <c r="AG7" s="233">
        <v>2026</v>
      </c>
      <c r="AH7" s="1405"/>
      <c r="AI7" s="1405"/>
    </row>
    <row r="8" spans="2:38" ht="14.25" customHeight="1" x14ac:dyDescent="0.25">
      <c r="B8" s="1366"/>
      <c r="C8" s="1367"/>
      <c r="D8" s="195" t="s">
        <v>282</v>
      </c>
      <c r="E8" s="195" t="s">
        <v>283</v>
      </c>
      <c r="F8" s="196" t="s">
        <v>284</v>
      </c>
      <c r="G8" s="196" t="s">
        <v>238</v>
      </c>
      <c r="H8" s="197" t="s">
        <v>282</v>
      </c>
      <c r="I8" s="196" t="s">
        <v>283</v>
      </c>
      <c r="J8" s="196" t="s">
        <v>284</v>
      </c>
      <c r="K8" s="196" t="s">
        <v>238</v>
      </c>
      <c r="L8" s="196" t="s">
        <v>282</v>
      </c>
      <c r="M8" s="195" t="s">
        <v>283</v>
      </c>
      <c r="N8" s="196" t="s">
        <v>284</v>
      </c>
      <c r="O8" s="196" t="s">
        <v>238</v>
      </c>
      <c r="P8" s="196" t="s">
        <v>282</v>
      </c>
      <c r="Q8" s="195" t="s">
        <v>283</v>
      </c>
      <c r="R8" s="196" t="s">
        <v>284</v>
      </c>
      <c r="S8" s="196" t="s">
        <v>238</v>
      </c>
      <c r="T8" s="196" t="s">
        <v>282</v>
      </c>
      <c r="U8" s="267" t="s">
        <v>283</v>
      </c>
      <c r="V8" s="268" t="s">
        <v>284</v>
      </c>
      <c r="W8" s="252" t="s">
        <v>238</v>
      </c>
      <c r="X8" s="253" t="s">
        <v>282</v>
      </c>
      <c r="Y8" s="251" t="s">
        <v>283</v>
      </c>
      <c r="Z8" s="249" t="s">
        <v>284</v>
      </c>
      <c r="AA8" s="252" t="s">
        <v>238</v>
      </c>
      <c r="AB8" s="253" t="s">
        <v>282</v>
      </c>
      <c r="AC8" s="251" t="s">
        <v>283</v>
      </c>
      <c r="AD8" s="249" t="s">
        <v>284</v>
      </c>
      <c r="AE8" s="252" t="s">
        <v>238</v>
      </c>
      <c r="AF8" s="253" t="s">
        <v>282</v>
      </c>
      <c r="AG8" s="254" t="s">
        <v>283</v>
      </c>
      <c r="AH8" s="1406"/>
      <c r="AI8" s="1406"/>
    </row>
    <row r="9" spans="2:38" ht="23.85" customHeight="1" x14ac:dyDescent="0.25">
      <c r="B9" s="338" t="s">
        <v>337</v>
      </c>
      <c r="C9" s="406" t="s">
        <v>338</v>
      </c>
      <c r="D9" s="353">
        <f>'Haver Pivoted'!GO32</f>
        <v>590.1</v>
      </c>
      <c r="E9" s="354">
        <f>'Haver Pivoted'!GP32</f>
        <v>593.1</v>
      </c>
      <c r="F9" s="354">
        <f>'Haver Pivoted'!GQ32</f>
        <v>610.70000000000005</v>
      </c>
      <c r="G9" s="354">
        <f>'Haver Pivoted'!GR32</f>
        <v>610.4</v>
      </c>
      <c r="H9" s="354">
        <f>'Haver Pivoted'!GS32</f>
        <v>621.79999999999995</v>
      </c>
      <c r="I9" s="354">
        <f>'Haver Pivoted'!GT32</f>
        <v>638.20000000000005</v>
      </c>
      <c r="J9" s="354">
        <f>'Haver Pivoted'!GU32</f>
        <v>1388.6</v>
      </c>
      <c r="K9" s="354">
        <f>'Haver Pivoted'!GV32</f>
        <v>737</v>
      </c>
      <c r="L9" s="354">
        <f>'Haver Pivoted'!GW32</f>
        <v>751.3</v>
      </c>
      <c r="M9" s="354">
        <f>'Haver Pivoted'!GX32</f>
        <v>781.8</v>
      </c>
      <c r="N9" s="354">
        <f>'Haver Pivoted'!GY32</f>
        <v>1645.9</v>
      </c>
      <c r="O9" s="354">
        <f>'Haver Pivoted'!GZ32</f>
        <v>1084.4000000000001</v>
      </c>
      <c r="P9" s="354">
        <f>'Haver Pivoted'!HA32</f>
        <v>929</v>
      </c>
      <c r="Q9" s="354">
        <f>'Haver Pivoted'!HB32</f>
        <v>937.5</v>
      </c>
      <c r="R9" s="354">
        <f>'Haver Pivoted'!HC32</f>
        <v>961.8</v>
      </c>
      <c r="S9" s="355">
        <f>'Haver Pivoted'!HD32</f>
        <v>950.2</v>
      </c>
      <c r="T9" s="355">
        <f>'Haver Pivoted'!HE32</f>
        <v>946.2</v>
      </c>
      <c r="U9" s="317">
        <f>'Haver Pivoted'!HF32</f>
        <v>974.6</v>
      </c>
      <c r="V9" s="317">
        <f>'Haver Pivoted'!HG32</f>
        <v>974.1</v>
      </c>
      <c r="W9" s="317">
        <f>'Haver Pivoted'!HH32</f>
        <v>918.5</v>
      </c>
      <c r="X9" s="317">
        <f>'Haver Pivoted'!HI32</f>
        <v>941.6</v>
      </c>
      <c r="Y9" s="320">
        <f t="shared" ref="Y9:AB9" si="0">Y10+Y11</f>
        <v>908.91494465144501</v>
      </c>
      <c r="Z9" s="320">
        <f t="shared" si="0"/>
        <v>886.42457192316226</v>
      </c>
      <c r="AA9" s="320">
        <f t="shared" si="0"/>
        <v>883.01555651505282</v>
      </c>
      <c r="AB9" s="320">
        <f t="shared" si="0"/>
        <v>875.53890775464674</v>
      </c>
      <c r="AC9" s="320">
        <f>AC10+AC11</f>
        <v>881.98855155427896</v>
      </c>
      <c r="AD9" s="320">
        <f>AD10+AD11</f>
        <v>282.45481150191631</v>
      </c>
      <c r="AE9" s="320"/>
      <c r="AF9" s="320"/>
      <c r="AG9" s="320"/>
      <c r="AH9" s="374"/>
      <c r="AI9" s="407"/>
    </row>
    <row r="10" spans="2:38" ht="27.6" customHeight="1" x14ac:dyDescent="0.25">
      <c r="B10" s="413" t="s">
        <v>133</v>
      </c>
      <c r="C10" s="211" t="s">
        <v>339</v>
      </c>
      <c r="D10" s="359">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25">
        <f>'Haver Pivoted'!HA40</f>
        <v>563.64300000000003</v>
      </c>
      <c r="Q10" s="68">
        <f>'Haver Pivoted'!HB40</f>
        <v>594.56200000000001</v>
      </c>
      <c r="R10" s="68">
        <f>'Haver Pivoted'!HC40</f>
        <v>595.59299999999996</v>
      </c>
      <c r="S10" s="316">
        <f>'Haver Pivoted'!HD40</f>
        <v>607.94899999999996</v>
      </c>
      <c r="T10" s="316">
        <f>'Haver Pivoted'!HE40</f>
        <v>607.13699999999994</v>
      </c>
      <c r="U10" s="316">
        <f>'Haver Pivoted'!HF40</f>
        <v>630.96299999999997</v>
      </c>
      <c r="V10" s="316">
        <f>'Haver Pivoted'!HG40</f>
        <v>639.71100000000001</v>
      </c>
      <c r="W10" s="316">
        <f>'Haver Pivoted'!HH40</f>
        <v>590.947</v>
      </c>
      <c r="X10" s="316">
        <f>'Haver Pivoted'!HI40</f>
        <v>616.99699999999996</v>
      </c>
      <c r="Y10" s="321">
        <f>Medicaid!Y29</f>
        <v>606.91708404312465</v>
      </c>
      <c r="Z10" s="321">
        <f>Medicaid!Z29</f>
        <v>601.00825317131967</v>
      </c>
      <c r="AA10" s="321">
        <f>Medicaid!AA29</f>
        <v>595.1569495683782</v>
      </c>
      <c r="AB10" s="321">
        <f>Medicaid!AB29</f>
        <v>599.08994775464669</v>
      </c>
      <c r="AC10" s="321">
        <f>Medicaid!AC29</f>
        <v>603.04893652162571</v>
      </c>
      <c r="AD10" s="321">
        <f>Medicaid!AH29</f>
        <v>0</v>
      </c>
      <c r="AE10" s="321"/>
      <c r="AF10" s="321"/>
      <c r="AG10" s="321"/>
      <c r="AH10" s="343"/>
      <c r="AI10" s="394"/>
    </row>
    <row r="11" spans="2:38" ht="17.25" customHeight="1" x14ac:dyDescent="0.25">
      <c r="B11" s="230" t="s">
        <v>340</v>
      </c>
      <c r="C11" s="211"/>
      <c r="D11" s="359">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25">
        <f t="shared" si="3"/>
        <v>365.35699999999997</v>
      </c>
      <c r="Q11" s="68">
        <f t="shared" si="3"/>
        <v>342.93799999999999</v>
      </c>
      <c r="R11" s="68">
        <f t="shared" si="3"/>
        <v>366.20699999999999</v>
      </c>
      <c r="S11" s="316">
        <f t="shared" si="3"/>
        <v>342.25100000000009</v>
      </c>
      <c r="T11" s="316">
        <f t="shared" si="3"/>
        <v>339.0630000000001</v>
      </c>
      <c r="U11" s="316">
        <f>U9-U10</f>
        <v>343.63700000000006</v>
      </c>
      <c r="V11" s="316">
        <f>V9-V10</f>
        <v>334.38900000000001</v>
      </c>
      <c r="W11" s="316">
        <f>W9-W10</f>
        <v>327.553</v>
      </c>
      <c r="X11" s="316">
        <f>X9-X10</f>
        <v>324.60300000000007</v>
      </c>
      <c r="Y11" s="321">
        <f t="shared" ref="Y11:AB11" si="4">SUM(Y12:Y20)</f>
        <v>301.99786060832042</v>
      </c>
      <c r="Z11" s="321">
        <f t="shared" si="4"/>
        <v>285.4163187518426</v>
      </c>
      <c r="AA11" s="321">
        <f t="shared" si="4"/>
        <v>287.85860694667463</v>
      </c>
      <c r="AB11" s="321">
        <f t="shared" si="4"/>
        <v>276.44896000000006</v>
      </c>
      <c r="AC11" s="321">
        <f>SUM(AC12:AC20)</f>
        <v>278.93961503265319</v>
      </c>
      <c r="AD11" s="321">
        <f>SUM(AD12:AD20)</f>
        <v>282.45481150191631</v>
      </c>
      <c r="AE11" s="321"/>
      <c r="AF11" s="321"/>
      <c r="AG11" s="321"/>
      <c r="AH11" s="343"/>
      <c r="AI11" s="394"/>
    </row>
    <row r="12" spans="2:38" ht="16.350000000000001" customHeight="1" x14ac:dyDescent="0.25">
      <c r="B12" s="350" t="s">
        <v>149</v>
      </c>
      <c r="C12" s="52" t="s">
        <v>341</v>
      </c>
      <c r="D12" s="418"/>
      <c r="E12" s="52"/>
      <c r="F12" s="52"/>
      <c r="G12" s="52"/>
      <c r="H12" s="68"/>
      <c r="I12" s="68"/>
      <c r="J12" s="68">
        <f>'Haver Pivoted'!GU56</f>
        <v>597.9</v>
      </c>
      <c r="K12" s="68"/>
      <c r="L12" s="68"/>
      <c r="M12" s="68"/>
      <c r="N12" s="68"/>
      <c r="O12" s="50">
        <v>0</v>
      </c>
      <c r="P12" s="212">
        <v>0</v>
      </c>
      <c r="Q12" s="50">
        <v>0</v>
      </c>
      <c r="R12" s="50">
        <v>0</v>
      </c>
      <c r="S12" s="50">
        <v>0</v>
      </c>
      <c r="T12" s="50">
        <v>0</v>
      </c>
      <c r="U12" s="50">
        <v>0</v>
      </c>
      <c r="V12" s="50">
        <v>0</v>
      </c>
      <c r="W12" s="50">
        <v>0</v>
      </c>
      <c r="X12" s="321">
        <v>0</v>
      </c>
      <c r="Y12" s="321">
        <v>0</v>
      </c>
      <c r="Z12" s="321">
        <v>0</v>
      </c>
      <c r="AA12" s="321">
        <v>0</v>
      </c>
      <c r="AB12" s="321">
        <v>0</v>
      </c>
      <c r="AC12" s="321">
        <v>0</v>
      </c>
      <c r="AD12" s="321">
        <v>0</v>
      </c>
      <c r="AE12" s="321"/>
      <c r="AF12" s="321"/>
      <c r="AG12" s="321"/>
      <c r="AH12" s="343">
        <f t="shared" ref="AH12:AH17" si="5">SUM(I12:Y12)/4</f>
        <v>149.47499999999999</v>
      </c>
      <c r="AI12" s="394">
        <f>AH47</f>
        <v>150</v>
      </c>
    </row>
    <row r="13" spans="2:38" x14ac:dyDescent="0.25">
      <c r="B13" s="350" t="s">
        <v>150</v>
      </c>
      <c r="C13" s="52" t="s">
        <v>342</v>
      </c>
      <c r="D13" s="41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25">
        <f>'Haver Pivoted'!HA57</f>
        <v>87.2</v>
      </c>
      <c r="Q13" s="68">
        <f>'Haver Pivoted'!HB57</f>
        <v>72.400000000000006</v>
      </c>
      <c r="R13" s="68">
        <f>'Haver Pivoted'!HC57</f>
        <v>85.9</v>
      </c>
      <c r="S13" s="316">
        <f>'Haver Pivoted'!HD57</f>
        <v>68.3</v>
      </c>
      <c r="T13" s="316">
        <f>'Haver Pivoted'!HE57</f>
        <v>64</v>
      </c>
      <c r="U13" s="318">
        <f>U48+U52+U58</f>
        <v>60.929333333333297</v>
      </c>
      <c r="V13" s="318">
        <f t="shared" ref="V13:AD13" si="6">V48+V52+V58</f>
        <v>60.929333333333297</v>
      </c>
      <c r="W13" s="318">
        <f>W48+W52+W58</f>
        <v>60.929333333333297</v>
      </c>
      <c r="X13" s="318">
        <f t="shared" si="6"/>
        <v>54.244333333333302</v>
      </c>
      <c r="Y13" s="318">
        <f t="shared" si="6"/>
        <v>50.911000000000001</v>
      </c>
      <c r="Z13" s="318">
        <f t="shared" si="6"/>
        <v>31.911000000000001</v>
      </c>
      <c r="AA13" s="318">
        <f t="shared" si="6"/>
        <v>31.911000000000001</v>
      </c>
      <c r="AB13" s="318">
        <f t="shared" si="6"/>
        <v>23.099</v>
      </c>
      <c r="AC13" s="318">
        <f t="shared" si="6"/>
        <v>23.099</v>
      </c>
      <c r="AD13" s="318">
        <f t="shared" si="6"/>
        <v>23.099</v>
      </c>
      <c r="AE13" s="318"/>
      <c r="AF13" s="318"/>
      <c r="AG13" s="318"/>
      <c r="AH13" s="343">
        <f t="shared" si="5"/>
        <v>225.58583333333326</v>
      </c>
      <c r="AI13" s="394">
        <f>AH48+AH52+AH58</f>
        <v>225.76349999999994</v>
      </c>
      <c r="AJ13" s="56">
        <f>SUM(J13:R13)/4</f>
        <v>120.52500000000001</v>
      </c>
    </row>
    <row r="14" spans="2:38" x14ac:dyDescent="0.25">
      <c r="B14" s="350" t="s">
        <v>152</v>
      </c>
      <c r="C14" s="49" t="s">
        <v>307</v>
      </c>
      <c r="D14" s="346"/>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25">
        <f>'Haver Pivoted'!HA58</f>
        <v>18</v>
      </c>
      <c r="Q14" s="68">
        <f>'Haver Pivoted'!HB58</f>
        <v>15</v>
      </c>
      <c r="R14" s="68">
        <f>'Haver Pivoted'!HC58</f>
        <v>11.2</v>
      </c>
      <c r="S14" s="316">
        <f>'Haver Pivoted'!HD58</f>
        <v>7.5</v>
      </c>
      <c r="T14" s="316">
        <f>'Haver Pivoted'!HE58</f>
        <v>6.2</v>
      </c>
      <c r="U14" s="316">
        <f>'Haver Pivoted'!HF58</f>
        <v>0</v>
      </c>
      <c r="V14" s="316">
        <f>'Haver Pivoted'!HG58</f>
        <v>0</v>
      </c>
      <c r="W14" s="316">
        <f>'Haver Pivoted'!HH58</f>
        <v>0</v>
      </c>
      <c r="X14" s="316">
        <f>'Haver Pivoted'!HI58</f>
        <v>0</v>
      </c>
      <c r="Y14" s="321">
        <f>'Provider Relief (expired)'!Y12</f>
        <v>0</v>
      </c>
      <c r="Z14" s="321">
        <f>'Provider Relief (expired)'!Z12</f>
        <v>0</v>
      </c>
      <c r="AA14" s="321">
        <f>'Provider Relief (expired)'!AA12</f>
        <v>0</v>
      </c>
      <c r="AB14" s="321">
        <f>'Provider Relief (expired)'!AB12</f>
        <v>0</v>
      </c>
      <c r="AC14" s="321">
        <f>'Provider Relief (expired)'!AC12</f>
        <v>0</v>
      </c>
      <c r="AD14" s="321">
        <f>'Provider Relief (expired)'!AD12</f>
        <v>0</v>
      </c>
      <c r="AE14" s="321"/>
      <c r="AF14" s="321"/>
      <c r="AG14" s="321"/>
      <c r="AH14" s="343">
        <f t="shared" si="5"/>
        <v>47.375</v>
      </c>
      <c r="AI14" s="394">
        <f>AH49+AH53+AH59</f>
        <v>34.125000000000007</v>
      </c>
    </row>
    <row r="15" spans="2:38" ht="15.75" customHeight="1" x14ac:dyDescent="0.25">
      <c r="B15" s="350" t="s">
        <v>343</v>
      </c>
      <c r="C15" s="49"/>
      <c r="D15" s="346"/>
      <c r="E15" s="49"/>
      <c r="F15" s="49"/>
      <c r="G15" s="49"/>
      <c r="H15" s="68"/>
      <c r="I15" s="68"/>
      <c r="J15" s="68"/>
      <c r="K15" s="68"/>
      <c r="L15" s="68"/>
      <c r="M15" s="68">
        <f>M51</f>
        <v>9.6666666666666661</v>
      </c>
      <c r="N15" s="50">
        <f t="shared" ref="N15:AC15" si="7">N51</f>
        <v>9.6666666666666661</v>
      </c>
      <c r="O15" s="50">
        <f t="shared" si="7"/>
        <v>9.6666666666666661</v>
      </c>
      <c r="P15" s="212">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21">
        <f t="shared" si="7"/>
        <v>9.6666666666666661</v>
      </c>
      <c r="Y15" s="321">
        <f t="shared" si="7"/>
        <v>0</v>
      </c>
      <c r="Z15" s="321">
        <f t="shared" si="7"/>
        <v>0</v>
      </c>
      <c r="AA15" s="321">
        <f t="shared" si="7"/>
        <v>0</v>
      </c>
      <c r="AB15" s="321">
        <f t="shared" si="7"/>
        <v>0</v>
      </c>
      <c r="AC15" s="321">
        <f t="shared" si="7"/>
        <v>0</v>
      </c>
      <c r="AD15" s="321">
        <f t="shared" ref="AD15" si="8">AD51</f>
        <v>0</v>
      </c>
      <c r="AE15" s="321"/>
      <c r="AF15" s="321"/>
      <c r="AG15" s="321"/>
      <c r="AH15" s="343">
        <f t="shared" si="5"/>
        <v>29.000000000000004</v>
      </c>
      <c r="AI15" s="395">
        <f>AH51</f>
        <v>29.000000000000004</v>
      </c>
      <c r="AJ15" s="362" t="s">
        <v>344</v>
      </c>
      <c r="AK15" s="362"/>
      <c r="AL15" s="362"/>
    </row>
    <row r="16" spans="2:38" ht="31.35" customHeight="1" x14ac:dyDescent="0.25">
      <c r="B16" s="350" t="s">
        <v>345</v>
      </c>
      <c r="C16" s="49"/>
      <c r="D16" s="346"/>
      <c r="E16" s="49"/>
      <c r="F16" s="49"/>
      <c r="G16" s="49"/>
      <c r="H16" s="68"/>
      <c r="I16" s="68"/>
      <c r="J16" s="68"/>
      <c r="K16" s="68"/>
      <c r="L16" s="68"/>
      <c r="M16" s="68">
        <f>M55+M54</f>
        <v>12</v>
      </c>
      <c r="N16" s="50">
        <f>N55+N54</f>
        <v>12</v>
      </c>
      <c r="O16" s="50">
        <f>O55+O54</f>
        <v>12</v>
      </c>
      <c r="P16" s="212">
        <f t="shared" ref="P16:AC16" si="9">P55+P54</f>
        <v>12</v>
      </c>
      <c r="Q16" s="50">
        <f t="shared" si="9"/>
        <v>12</v>
      </c>
      <c r="R16" s="50">
        <f t="shared" si="9"/>
        <v>12</v>
      </c>
      <c r="S16" s="50">
        <f t="shared" si="9"/>
        <v>12</v>
      </c>
      <c r="T16" s="50">
        <f t="shared" si="9"/>
        <v>12</v>
      </c>
      <c r="U16" s="50">
        <f t="shared" si="9"/>
        <v>12</v>
      </c>
      <c r="V16" s="50">
        <f t="shared" si="9"/>
        <v>12</v>
      </c>
      <c r="W16" s="50">
        <f t="shared" si="9"/>
        <v>12</v>
      </c>
      <c r="X16" s="321">
        <f t="shared" si="9"/>
        <v>12</v>
      </c>
      <c r="Y16" s="321">
        <f t="shared" si="9"/>
        <v>0</v>
      </c>
      <c r="Z16" s="321">
        <f t="shared" si="9"/>
        <v>0</v>
      </c>
      <c r="AA16" s="321">
        <f t="shared" si="9"/>
        <v>0</v>
      </c>
      <c r="AB16" s="321">
        <f t="shared" si="9"/>
        <v>0</v>
      </c>
      <c r="AC16" s="321">
        <f t="shared" si="9"/>
        <v>0</v>
      </c>
      <c r="AD16" s="321">
        <f t="shared" ref="AD16" si="10">AD55+AD54</f>
        <v>0</v>
      </c>
      <c r="AE16" s="321"/>
      <c r="AF16" s="321"/>
      <c r="AG16" s="321"/>
      <c r="AH16" s="343">
        <f t="shared" si="5"/>
        <v>36</v>
      </c>
      <c r="AI16" s="394">
        <f>SUM(AH54:AH55)+AH60</f>
        <v>130.3365</v>
      </c>
      <c r="AJ16" s="362" t="s">
        <v>346</v>
      </c>
      <c r="AK16" s="362"/>
      <c r="AL16" s="362"/>
    </row>
    <row r="17" spans="1:38" x14ac:dyDescent="0.25">
      <c r="B17" s="350" t="s">
        <v>347</v>
      </c>
      <c r="C17" s="49"/>
      <c r="D17" s="346"/>
      <c r="E17" s="49"/>
      <c r="F17" s="49"/>
      <c r="G17" s="49"/>
      <c r="H17" s="68"/>
      <c r="I17" s="68"/>
      <c r="J17" s="68"/>
      <c r="K17" s="68"/>
      <c r="L17" s="68"/>
      <c r="M17" s="68"/>
      <c r="N17" s="50">
        <f>N60</f>
        <v>59.256</v>
      </c>
      <c r="O17" s="50">
        <f>O60</f>
        <v>59.256</v>
      </c>
      <c r="P17" s="212">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21">
        <f t="shared" si="11"/>
        <v>9.6430000000000007</v>
      </c>
      <c r="Y17" s="321">
        <f t="shared" si="11"/>
        <v>9.6430000000000007</v>
      </c>
      <c r="Z17" s="321">
        <f t="shared" si="11"/>
        <v>9.6430000000000007</v>
      </c>
      <c r="AA17" s="321">
        <f t="shared" si="11"/>
        <v>9.6430000000000007</v>
      </c>
      <c r="AB17" s="321">
        <f t="shared" si="11"/>
        <v>4.5789999999999997</v>
      </c>
      <c r="AC17" s="321">
        <f t="shared" si="11"/>
        <v>4.5789999999999997</v>
      </c>
      <c r="AD17" s="321">
        <f t="shared" ref="AD17" si="12">AD60</f>
        <v>4.5789999999999997</v>
      </c>
      <c r="AE17" s="321"/>
      <c r="AF17" s="321"/>
      <c r="AG17" s="321"/>
      <c r="AH17" s="343">
        <f t="shared" si="5"/>
        <v>94.336500000000001</v>
      </c>
      <c r="AI17" s="394"/>
      <c r="AJ17" s="362"/>
      <c r="AK17" s="362"/>
      <c r="AL17" s="362"/>
    </row>
    <row r="18" spans="1:38" ht="54" customHeight="1" x14ac:dyDescent="0.25">
      <c r="B18" s="401" t="s">
        <v>783</v>
      </c>
      <c r="C18" s="49"/>
      <c r="D18" s="346"/>
      <c r="E18" s="49"/>
      <c r="F18" s="49"/>
      <c r="G18" s="49"/>
      <c r="H18" s="68"/>
      <c r="I18" s="68"/>
      <c r="J18" s="68"/>
      <c r="K18" s="68"/>
      <c r="L18" s="68"/>
      <c r="M18" s="68"/>
      <c r="N18" s="50">
        <v>-40</v>
      </c>
      <c r="O18" s="50">
        <v>-40</v>
      </c>
      <c r="P18" s="212">
        <f>-51</f>
        <v>-51</v>
      </c>
      <c r="Q18" s="50">
        <f>-51</f>
        <v>-51</v>
      </c>
      <c r="R18" s="50">
        <v>-51</v>
      </c>
      <c r="S18" s="50">
        <f>-51</f>
        <v>-51</v>
      </c>
      <c r="T18" s="50">
        <v>0</v>
      </c>
      <c r="U18" s="50">
        <v>0</v>
      </c>
      <c r="V18" s="50">
        <v>0</v>
      </c>
      <c r="W18" s="50">
        <v>0</v>
      </c>
      <c r="X18" s="321">
        <v>-4</v>
      </c>
      <c r="Y18" s="321">
        <v>-4</v>
      </c>
      <c r="Z18" s="321">
        <v>-4</v>
      </c>
      <c r="AA18" s="321">
        <v>-4</v>
      </c>
      <c r="AB18" s="321">
        <v>-4</v>
      </c>
      <c r="AC18" s="321">
        <v>-4</v>
      </c>
      <c r="AD18" s="321">
        <v>-3</v>
      </c>
      <c r="AE18" s="321">
        <v>0</v>
      </c>
      <c r="AF18" s="321">
        <v>0</v>
      </c>
      <c r="AG18" s="321">
        <v>0</v>
      </c>
      <c r="AH18" s="343"/>
      <c r="AI18" s="394"/>
      <c r="AJ18" s="362"/>
      <c r="AK18" s="362"/>
      <c r="AL18" s="362"/>
    </row>
    <row r="19" spans="1:38" ht="15.75" customHeight="1" x14ac:dyDescent="0.25">
      <c r="B19" s="350" t="s">
        <v>348</v>
      </c>
      <c r="C19" s="52" t="s">
        <v>349</v>
      </c>
      <c r="D19" s="346"/>
      <c r="E19" s="49"/>
      <c r="F19" s="49"/>
      <c r="G19" s="49"/>
      <c r="H19" s="68"/>
      <c r="I19" s="68"/>
      <c r="J19" s="68"/>
      <c r="K19" s="68">
        <f>'Haver Pivoted'!GV56</f>
        <v>0</v>
      </c>
      <c r="L19" s="68">
        <f>'Haver Pivoted'!GW56</f>
        <v>0</v>
      </c>
      <c r="M19" s="68">
        <f>'Haver Pivoted'!GX56</f>
        <v>0</v>
      </c>
      <c r="N19" s="68">
        <f>'Haver Pivoted'!GY56</f>
        <v>785.9</v>
      </c>
      <c r="O19" s="68">
        <f>'Haver Pivoted'!GZ56</f>
        <v>187.9</v>
      </c>
      <c r="P19" s="425">
        <f>'Haver Pivoted'!HA56</f>
        <v>9.1999999999999993</v>
      </c>
      <c r="Q19" s="68">
        <f>'Haver Pivoted'!HB56</f>
        <v>0.6</v>
      </c>
      <c r="R19" s="68">
        <f>'Haver Pivoted'!HC56</f>
        <v>0</v>
      </c>
      <c r="S19" s="316">
        <f>'Haver Pivoted'!HD56</f>
        <v>0</v>
      </c>
      <c r="T19" s="316">
        <f>'Haver Pivoted'!HE56</f>
        <v>0</v>
      </c>
      <c r="U19" s="316">
        <f>'Haver Pivoted'!HF56</f>
        <v>0</v>
      </c>
      <c r="V19" s="316">
        <f>'Haver Pivoted'!HG56</f>
        <v>0</v>
      </c>
      <c r="W19" s="316">
        <f>'Haver Pivoted'!HH56</f>
        <v>0</v>
      </c>
      <c r="X19" s="316">
        <f>'Haver Pivoted'!HI56</f>
        <v>0</v>
      </c>
      <c r="Y19" s="313">
        <f t="shared" ref="Y19:AC19" si="13">Y57</f>
        <v>0</v>
      </c>
      <c r="Z19" s="313">
        <f t="shared" si="13"/>
        <v>0</v>
      </c>
      <c r="AA19" s="313">
        <f t="shared" si="13"/>
        <v>0</v>
      </c>
      <c r="AB19" s="313">
        <f t="shared" si="13"/>
        <v>0</v>
      </c>
      <c r="AC19" s="313">
        <f t="shared" si="13"/>
        <v>0</v>
      </c>
      <c r="AD19" s="313">
        <f t="shared" ref="AD19" si="14">AD57</f>
        <v>0</v>
      </c>
      <c r="AE19" s="313">
        <v>0</v>
      </c>
      <c r="AF19" s="313">
        <v>0</v>
      </c>
      <c r="AG19" s="313">
        <v>0</v>
      </c>
      <c r="AH19" s="343">
        <f>SUM(I19:Y19)/4</f>
        <v>245.9</v>
      </c>
      <c r="AI19" s="394">
        <f>AH57</f>
        <v>362.04999999999995</v>
      </c>
      <c r="AJ19" s="385"/>
      <c r="AL19" s="362"/>
    </row>
    <row r="20" spans="1:38" ht="15.75" customHeight="1" x14ac:dyDescent="0.25">
      <c r="A20" s="364"/>
      <c r="B20" s="363" t="s">
        <v>350</v>
      </c>
      <c r="C20" s="377"/>
      <c r="D20" s="375">
        <f t="shared" ref="D20:T20" si="15">D11-SUM(D12:D19)</f>
        <v>198.17900000000003</v>
      </c>
      <c r="E20" s="377">
        <f t="shared" si="15"/>
        <v>186.87</v>
      </c>
      <c r="F20" s="377">
        <f t="shared" si="15"/>
        <v>195.82800000000003</v>
      </c>
      <c r="G20" s="377">
        <f t="shared" si="15"/>
        <v>192.03799999999995</v>
      </c>
      <c r="H20" s="377">
        <f t="shared" si="15"/>
        <v>206.82899999999995</v>
      </c>
      <c r="I20" s="377">
        <f t="shared" si="15"/>
        <v>214.11100000000005</v>
      </c>
      <c r="J20" s="377">
        <f t="shared" si="15"/>
        <v>192.44999999999993</v>
      </c>
      <c r="K20" s="377">
        <f t="shared" si="15"/>
        <v>213.93400000000003</v>
      </c>
      <c r="L20" s="377">
        <f t="shared" si="15"/>
        <v>215.54399999999998</v>
      </c>
      <c r="M20" s="377">
        <f t="shared" si="15"/>
        <v>217.77433333333329</v>
      </c>
      <c r="N20" s="377">
        <f t="shared" si="15"/>
        <v>217.59133333333352</v>
      </c>
      <c r="O20" s="377">
        <f t="shared" si="15"/>
        <v>222.7093333333334</v>
      </c>
      <c r="P20" s="297">
        <f t="shared" si="15"/>
        <v>244.61933333333332</v>
      </c>
      <c r="Q20" s="377">
        <f t="shared" si="15"/>
        <v>248.60033333333331</v>
      </c>
      <c r="R20" s="377">
        <f t="shared" si="15"/>
        <v>262.76933333333329</v>
      </c>
      <c r="S20" s="352">
        <f t="shared" si="15"/>
        <v>260.1133333333334</v>
      </c>
      <c r="T20" s="352">
        <f t="shared" si="15"/>
        <v>222.98033333333342</v>
      </c>
      <c r="U20" s="319">
        <f>U11-SUM(U12:U19)</f>
        <v>236.8250000000001</v>
      </c>
      <c r="V20" s="319">
        <f>V11-SUM(V12:V19)</f>
        <v>227.57700000000006</v>
      </c>
      <c r="W20" s="319">
        <f>W11-SUM(W12:W19)</f>
        <v>220.74100000000004</v>
      </c>
      <c r="X20" s="319">
        <f>X11-SUM(X12:X19)</f>
        <v>243.04900000000009</v>
      </c>
      <c r="Y20" s="320">
        <f t="shared" ref="Y20:AC20" si="16">X20*(1.04)^0.25</f>
        <v>245.44386060832042</v>
      </c>
      <c r="Z20" s="320">
        <f t="shared" si="16"/>
        <v>247.86231875184262</v>
      </c>
      <c r="AA20" s="320">
        <f t="shared" si="16"/>
        <v>250.30460694667462</v>
      </c>
      <c r="AB20" s="320">
        <f t="shared" si="16"/>
        <v>252.77096000000006</v>
      </c>
      <c r="AC20" s="320">
        <f t="shared" si="16"/>
        <v>255.2616150326532</v>
      </c>
      <c r="AD20" s="320">
        <f>AC20*(1.04)^0.25</f>
        <v>257.77681150191631</v>
      </c>
      <c r="AE20" s="320">
        <f t="shared" ref="AE20:AG20" si="17">AD20*(1.04)^0.25</f>
        <v>260.31679122454159</v>
      </c>
      <c r="AF20" s="320">
        <f t="shared" si="17"/>
        <v>262.88179840000004</v>
      </c>
      <c r="AG20" s="320">
        <f t="shared" si="17"/>
        <v>265.47207963395931</v>
      </c>
      <c r="AH20" s="399"/>
      <c r="AI20" s="396"/>
      <c r="AJ20" s="362" t="s">
        <v>351</v>
      </c>
      <c r="AK20" s="362"/>
      <c r="AL20" s="362"/>
    </row>
    <row r="21" spans="1:38" ht="15.75" customHeight="1" x14ac:dyDescent="0.25">
      <c r="A21" s="4"/>
      <c r="B21" s="329"/>
      <c r="C21" s="49"/>
      <c r="D21" s="49"/>
      <c r="E21" s="49"/>
      <c r="F21" s="49"/>
      <c r="G21" s="49"/>
      <c r="H21" s="49"/>
      <c r="I21" s="49"/>
      <c r="J21" s="49"/>
      <c r="K21" s="49"/>
      <c r="L21" s="49"/>
      <c r="M21" s="49"/>
      <c r="N21" s="49"/>
      <c r="O21" s="49"/>
      <c r="P21" s="367"/>
      <c r="Q21" s="49"/>
      <c r="R21" s="49"/>
      <c r="S21" s="49"/>
      <c r="T21" s="49"/>
      <c r="U21" s="49"/>
      <c r="V21" s="49"/>
      <c r="W21" s="49"/>
      <c r="X21" s="49"/>
      <c r="Y21" s="212"/>
      <c r="Z21" s="212"/>
      <c r="AA21" s="212"/>
      <c r="AB21" s="212"/>
      <c r="AC21" s="212"/>
      <c r="AD21" s="212"/>
      <c r="AE21" s="212"/>
      <c r="AF21" s="212"/>
      <c r="AG21" s="212"/>
      <c r="AH21" s="212"/>
      <c r="AI21" s="367"/>
      <c r="AJ21" s="362"/>
      <c r="AK21" s="362"/>
      <c r="AL21" s="362"/>
    </row>
    <row r="22" spans="1:38" ht="15.75" customHeight="1" x14ac:dyDescent="0.25">
      <c r="A22" s="4"/>
      <c r="B22" s="329"/>
      <c r="C22" s="49"/>
      <c r="D22" s="49"/>
      <c r="E22" s="49"/>
      <c r="F22" s="49"/>
      <c r="G22" s="49"/>
      <c r="H22" s="49"/>
      <c r="I22" s="49"/>
      <c r="J22" s="49"/>
      <c r="K22" s="49"/>
      <c r="L22" s="49"/>
      <c r="M22" s="49"/>
      <c r="N22" s="49"/>
      <c r="O22" s="338" t="s">
        <v>337</v>
      </c>
      <c r="P22" s="340" t="s">
        <v>338</v>
      </c>
      <c r="Q22" s="354">
        <v>937.5</v>
      </c>
      <c r="R22" s="354">
        <v>961.8</v>
      </c>
      <c r="S22" s="355">
        <v>950.2</v>
      </c>
      <c r="T22" s="355">
        <v>946.2</v>
      </c>
      <c r="U22" s="317">
        <v>974.6</v>
      </c>
      <c r="V22" s="317">
        <v>974.1</v>
      </c>
      <c r="W22" s="317">
        <v>918.5</v>
      </c>
      <c r="X22" s="320">
        <v>893.41784168344066</v>
      </c>
      <c r="AC22" s="212"/>
      <c r="AD22" s="212"/>
      <c r="AE22" s="212"/>
      <c r="AF22" s="212"/>
      <c r="AG22" s="212"/>
      <c r="AH22" s="212"/>
      <c r="AI22" s="367"/>
      <c r="AJ22" s="362"/>
      <c r="AK22" s="362"/>
      <c r="AL22" s="362"/>
    </row>
    <row r="23" spans="1:38" ht="15.75" customHeight="1" x14ac:dyDescent="0.25">
      <c r="A23" s="4"/>
      <c r="B23" s="329"/>
      <c r="C23" s="49"/>
      <c r="D23" s="49"/>
      <c r="E23" s="49"/>
      <c r="F23" s="49"/>
      <c r="G23" s="49"/>
      <c r="H23" s="49"/>
      <c r="I23" s="49"/>
      <c r="J23" s="49"/>
      <c r="K23" s="49"/>
      <c r="L23" s="49"/>
      <c r="M23" s="49"/>
      <c r="N23" s="49"/>
      <c r="O23" s="413" t="s">
        <v>133</v>
      </c>
      <c r="P23" s="211" t="s">
        <v>339</v>
      </c>
      <c r="Q23" s="68">
        <v>594.56200000000001</v>
      </c>
      <c r="R23" s="68">
        <v>595.59299999999996</v>
      </c>
      <c r="S23" s="316">
        <v>607.94899999999996</v>
      </c>
      <c r="T23" s="316">
        <v>607.13699999999994</v>
      </c>
      <c r="U23" s="316">
        <v>630.96299999999997</v>
      </c>
      <c r="V23" s="316">
        <v>639.71100000000001</v>
      </c>
      <c r="W23" s="316">
        <v>590.947</v>
      </c>
      <c r="X23" s="321">
        <v>588.9477908684147</v>
      </c>
      <c r="AC23" s="212"/>
      <c r="AD23" s="212"/>
      <c r="AE23" s="212"/>
      <c r="AF23" s="212"/>
      <c r="AG23" s="212"/>
      <c r="AH23" s="212"/>
      <c r="AI23" s="367"/>
      <c r="AJ23" s="362"/>
      <c r="AK23" s="362"/>
      <c r="AL23" s="362"/>
    </row>
    <row r="24" spans="1:38" ht="15.75" customHeight="1" x14ac:dyDescent="0.25">
      <c r="A24" s="4"/>
      <c r="B24" s="329"/>
      <c r="C24" s="49"/>
      <c r="D24" s="49"/>
      <c r="E24" s="49"/>
      <c r="F24" s="49"/>
      <c r="G24" s="49"/>
      <c r="H24" s="49"/>
      <c r="I24" s="49"/>
      <c r="J24" s="49"/>
      <c r="K24" s="49"/>
      <c r="L24" s="49"/>
      <c r="M24" s="49"/>
      <c r="N24" s="49"/>
      <c r="O24" s="230" t="s">
        <v>340</v>
      </c>
      <c r="P24" s="211"/>
      <c r="Q24" s="68">
        <v>342.93799999999999</v>
      </c>
      <c r="R24" s="68">
        <v>366.20699999999999</v>
      </c>
      <c r="S24" s="316">
        <v>342.25100000000009</v>
      </c>
      <c r="T24" s="316">
        <v>339.0630000000001</v>
      </c>
      <c r="U24" s="316">
        <v>343.63700000000006</v>
      </c>
      <c r="V24" s="316">
        <v>334.38900000000001</v>
      </c>
      <c r="W24" s="316">
        <v>327.553</v>
      </c>
      <c r="X24" s="321">
        <v>304.47005081502596</v>
      </c>
      <c r="AC24" s="212"/>
      <c r="AD24" s="212"/>
      <c r="AE24" s="212"/>
      <c r="AF24" s="212"/>
      <c r="AG24" s="212"/>
      <c r="AH24" s="212"/>
      <c r="AI24" s="367"/>
      <c r="AJ24" s="362"/>
      <c r="AK24" s="362"/>
      <c r="AL24" s="362"/>
    </row>
    <row r="25" spans="1:38" ht="15.75" customHeight="1" x14ac:dyDescent="0.25">
      <c r="A25" s="4"/>
      <c r="B25" s="329"/>
      <c r="C25" s="49"/>
      <c r="D25" s="49"/>
      <c r="E25" s="49"/>
      <c r="F25" s="49"/>
      <c r="G25" s="49"/>
      <c r="H25" s="49"/>
      <c r="I25" s="49"/>
      <c r="J25" s="49"/>
      <c r="K25" s="49"/>
      <c r="L25" s="49"/>
      <c r="M25" s="49"/>
      <c r="N25" s="49"/>
      <c r="O25" s="350" t="s">
        <v>149</v>
      </c>
      <c r="P25" s="52" t="s">
        <v>341</v>
      </c>
      <c r="Q25" s="50">
        <v>0</v>
      </c>
      <c r="R25" s="50">
        <v>0</v>
      </c>
      <c r="S25" s="50">
        <v>0</v>
      </c>
      <c r="T25" s="50">
        <v>0</v>
      </c>
      <c r="U25" s="50">
        <v>0</v>
      </c>
      <c r="V25" s="50">
        <v>0</v>
      </c>
      <c r="W25" s="50">
        <v>0</v>
      </c>
      <c r="X25" s="321">
        <v>0</v>
      </c>
      <c r="AC25" s="212"/>
      <c r="AD25" s="212"/>
      <c r="AE25" s="212"/>
      <c r="AF25" s="212"/>
      <c r="AG25" s="212"/>
      <c r="AH25" s="212"/>
      <c r="AI25" s="367"/>
      <c r="AJ25" s="362"/>
      <c r="AK25" s="362"/>
      <c r="AL25" s="362"/>
    </row>
    <row r="26" spans="1:38" ht="15.75" customHeight="1" x14ac:dyDescent="0.25">
      <c r="A26" s="4"/>
      <c r="B26" s="329"/>
      <c r="C26" s="49"/>
      <c r="D26" s="49"/>
      <c r="E26" s="49"/>
      <c r="F26" s="49"/>
      <c r="G26" s="49"/>
      <c r="H26" s="49"/>
      <c r="I26" s="49"/>
      <c r="J26" s="49"/>
      <c r="K26" s="49"/>
      <c r="L26" s="49"/>
      <c r="M26" s="49"/>
      <c r="N26" s="49"/>
      <c r="O26" s="350" t="s">
        <v>150</v>
      </c>
      <c r="P26" s="52" t="s">
        <v>342</v>
      </c>
      <c r="Q26" s="68">
        <v>72.400000000000006</v>
      </c>
      <c r="R26" s="68">
        <v>85.9</v>
      </c>
      <c r="S26" s="316">
        <v>68.3</v>
      </c>
      <c r="T26" s="316">
        <v>64</v>
      </c>
      <c r="U26" s="318">
        <v>60.929333333333297</v>
      </c>
      <c r="V26" s="318">
        <v>60.929333333333297</v>
      </c>
      <c r="W26" s="318">
        <v>60.929333333333297</v>
      </c>
      <c r="X26" s="318">
        <v>54.244333333333302</v>
      </c>
      <c r="AC26" s="212"/>
      <c r="AD26" s="212"/>
      <c r="AE26" s="212"/>
      <c r="AF26" s="212"/>
      <c r="AG26" s="212"/>
      <c r="AH26" s="212"/>
      <c r="AI26" s="367"/>
      <c r="AJ26" s="362"/>
      <c r="AK26" s="362"/>
      <c r="AL26" s="362"/>
    </row>
    <row r="27" spans="1:38" ht="15.75" customHeight="1" x14ac:dyDescent="0.25">
      <c r="A27" s="4"/>
      <c r="B27" s="329"/>
      <c r="C27" s="49"/>
      <c r="D27" s="49"/>
      <c r="E27" s="49"/>
      <c r="F27" s="49"/>
      <c r="G27" s="49"/>
      <c r="H27" s="49"/>
      <c r="I27" s="49"/>
      <c r="J27" s="49"/>
      <c r="K27" s="49"/>
      <c r="L27" s="49"/>
      <c r="M27" s="49"/>
      <c r="N27" s="49"/>
      <c r="O27" s="350" t="s">
        <v>152</v>
      </c>
      <c r="P27" s="49" t="s">
        <v>307</v>
      </c>
      <c r="Q27" s="68">
        <v>15</v>
      </c>
      <c r="R27" s="68">
        <v>11.2</v>
      </c>
      <c r="S27" s="316">
        <v>7.5</v>
      </c>
      <c r="T27" s="316">
        <v>6.2</v>
      </c>
      <c r="U27" s="316">
        <v>0</v>
      </c>
      <c r="V27" s="316">
        <v>0</v>
      </c>
      <c r="W27" s="316">
        <v>0</v>
      </c>
      <c r="X27" s="321">
        <v>0</v>
      </c>
      <c r="AC27" s="212"/>
      <c r="AD27" s="212"/>
      <c r="AE27" s="212"/>
      <c r="AF27" s="212"/>
      <c r="AG27" s="212"/>
      <c r="AH27" s="212"/>
      <c r="AI27" s="367"/>
      <c r="AJ27" s="362"/>
      <c r="AK27" s="362"/>
      <c r="AL27" s="362"/>
    </row>
    <row r="28" spans="1:38" ht="15.75" customHeight="1" x14ac:dyDescent="0.25">
      <c r="A28" s="4"/>
      <c r="B28" s="329"/>
      <c r="C28" s="49"/>
      <c r="D28" s="49"/>
      <c r="E28" s="49"/>
      <c r="F28" s="49"/>
      <c r="G28" s="49"/>
      <c r="H28" s="49"/>
      <c r="I28" s="49"/>
      <c r="J28" s="49"/>
      <c r="K28" s="49"/>
      <c r="L28" s="49"/>
      <c r="M28" s="49"/>
      <c r="N28" s="49"/>
      <c r="O28" s="350" t="s">
        <v>343</v>
      </c>
      <c r="P28" s="49"/>
      <c r="Q28" s="50">
        <v>9.6666666666666661</v>
      </c>
      <c r="R28" s="50">
        <v>9.6666666666666661</v>
      </c>
      <c r="S28" s="50">
        <v>9.6666666666666661</v>
      </c>
      <c r="T28" s="50">
        <v>9.6666666666666661</v>
      </c>
      <c r="U28" s="50">
        <v>9.6666666666666661</v>
      </c>
      <c r="V28" s="50">
        <v>9.6666666666666661</v>
      </c>
      <c r="W28" s="50">
        <v>9.6666666666666661</v>
      </c>
      <c r="X28" s="321">
        <v>9.6666666666666661</v>
      </c>
      <c r="AC28" s="212"/>
      <c r="AD28" s="212"/>
      <c r="AE28" s="212"/>
      <c r="AF28" s="212"/>
      <c r="AG28" s="212"/>
      <c r="AH28" s="212"/>
      <c r="AI28" s="367"/>
      <c r="AJ28" s="362"/>
      <c r="AK28" s="362"/>
      <c r="AL28" s="362"/>
    </row>
    <row r="29" spans="1:38" ht="15.75" customHeight="1" x14ac:dyDescent="0.25">
      <c r="A29" s="4"/>
      <c r="B29" s="329"/>
      <c r="C29" s="49"/>
      <c r="D29" s="49"/>
      <c r="E29" s="49"/>
      <c r="F29" s="49"/>
      <c r="G29" s="49"/>
      <c r="H29" s="49"/>
      <c r="I29" s="49"/>
      <c r="J29" s="49"/>
      <c r="K29" s="49"/>
      <c r="L29" s="49"/>
      <c r="M29" s="49"/>
      <c r="N29" s="49"/>
      <c r="O29" s="350" t="s">
        <v>345</v>
      </c>
      <c r="P29" s="49"/>
      <c r="Q29" s="50">
        <v>12</v>
      </c>
      <c r="R29" s="50">
        <v>12</v>
      </c>
      <c r="S29" s="50">
        <v>12</v>
      </c>
      <c r="T29" s="50">
        <v>12</v>
      </c>
      <c r="U29" s="50">
        <v>12</v>
      </c>
      <c r="V29" s="50">
        <v>12</v>
      </c>
      <c r="W29" s="50">
        <v>12</v>
      </c>
      <c r="X29" s="321">
        <v>12</v>
      </c>
      <c r="AC29" s="212"/>
      <c r="AD29" s="212"/>
      <c r="AE29" s="212"/>
      <c r="AF29" s="212"/>
      <c r="AG29" s="212"/>
      <c r="AH29" s="212"/>
      <c r="AI29" s="367"/>
      <c r="AJ29" s="362"/>
      <c r="AK29" s="362"/>
      <c r="AL29" s="362"/>
    </row>
    <row r="30" spans="1:38" ht="15.75" customHeight="1" x14ac:dyDescent="0.25">
      <c r="A30" s="4"/>
      <c r="B30" s="329"/>
      <c r="C30" s="49"/>
      <c r="D30" s="49"/>
      <c r="E30" s="49"/>
      <c r="F30" s="49"/>
      <c r="G30" s="49"/>
      <c r="H30" s="49"/>
      <c r="I30" s="49"/>
      <c r="J30" s="49"/>
      <c r="K30" s="49"/>
      <c r="L30" s="49"/>
      <c r="M30" s="49"/>
      <c r="N30" s="49"/>
      <c r="O30" s="350" t="s">
        <v>347</v>
      </c>
      <c r="P30" s="49"/>
      <c r="Q30" s="50">
        <v>35.671000000000006</v>
      </c>
      <c r="R30" s="50">
        <v>35.671000000000006</v>
      </c>
      <c r="S30" s="50">
        <v>35.671000000000006</v>
      </c>
      <c r="T30" s="50">
        <v>24.216000000000001</v>
      </c>
      <c r="U30" s="50">
        <v>24.216000000000001</v>
      </c>
      <c r="V30" s="50">
        <v>24.216000000000001</v>
      </c>
      <c r="W30" s="50">
        <v>24.216000000000001</v>
      </c>
      <c r="X30" s="321">
        <v>9.6430000000000007</v>
      </c>
      <c r="AC30" s="212"/>
      <c r="AD30" s="212"/>
      <c r="AE30" s="212"/>
      <c r="AF30" s="212"/>
      <c r="AG30" s="212"/>
      <c r="AH30" s="212"/>
      <c r="AI30" s="367"/>
      <c r="AJ30" s="362"/>
      <c r="AK30" s="362"/>
      <c r="AL30" s="362"/>
    </row>
    <row r="31" spans="1:38" ht="15.75" customHeight="1" x14ac:dyDescent="0.25">
      <c r="A31" s="4"/>
      <c r="B31" s="329"/>
      <c r="C31" s="49"/>
      <c r="D31" s="49"/>
      <c r="E31" s="49"/>
      <c r="F31" s="49"/>
      <c r="G31" s="49"/>
      <c r="H31" s="49"/>
      <c r="I31" s="49"/>
      <c r="J31" s="49"/>
      <c r="K31" s="49"/>
      <c r="L31" s="49"/>
      <c r="M31" s="49"/>
      <c r="N31" s="49"/>
      <c r="O31" s="401" t="s">
        <v>783</v>
      </c>
      <c r="P31" s="49"/>
      <c r="Q31" s="50">
        <v>-51</v>
      </c>
      <c r="R31" s="50">
        <v>-51</v>
      </c>
      <c r="S31" s="50">
        <v>-51</v>
      </c>
      <c r="T31" s="50">
        <v>0</v>
      </c>
      <c r="U31" s="50">
        <v>0</v>
      </c>
      <c r="V31" s="50">
        <v>0</v>
      </c>
      <c r="W31" s="50">
        <v>0</v>
      </c>
      <c r="X31" s="321">
        <v>-4</v>
      </c>
      <c r="AC31" s="212"/>
      <c r="AD31" s="212"/>
      <c r="AE31" s="212"/>
      <c r="AF31" s="212"/>
      <c r="AG31" s="212"/>
      <c r="AH31" s="212"/>
      <c r="AI31" s="367"/>
      <c r="AJ31" s="362"/>
      <c r="AK31" s="362"/>
      <c r="AL31" s="362"/>
    </row>
    <row r="32" spans="1:38" ht="15.75" customHeight="1" x14ac:dyDescent="0.25">
      <c r="A32" s="4"/>
      <c r="B32" s="329"/>
      <c r="C32" s="49"/>
      <c r="D32" s="49"/>
      <c r="E32" s="49"/>
      <c r="F32" s="49"/>
      <c r="G32" s="49"/>
      <c r="H32" s="49"/>
      <c r="I32" s="49"/>
      <c r="J32" s="49"/>
      <c r="K32" s="49"/>
      <c r="L32" s="49"/>
      <c r="M32" s="49"/>
      <c r="N32" s="49"/>
      <c r="O32" s="350" t="s">
        <v>348</v>
      </c>
      <c r="P32" s="52" t="s">
        <v>349</v>
      </c>
      <c r="Q32" s="68">
        <v>0.6</v>
      </c>
      <c r="R32" s="68">
        <v>0</v>
      </c>
      <c r="S32" s="316">
        <v>0</v>
      </c>
      <c r="T32" s="316">
        <v>0</v>
      </c>
      <c r="U32" s="316">
        <v>0</v>
      </c>
      <c r="V32" s="316">
        <v>0</v>
      </c>
      <c r="W32" s="316">
        <v>0</v>
      </c>
      <c r="X32" s="313">
        <v>0</v>
      </c>
      <c r="AC32" s="212"/>
      <c r="AD32" s="212"/>
      <c r="AE32" s="212"/>
      <c r="AF32" s="212"/>
      <c r="AG32" s="212"/>
      <c r="AH32" s="212"/>
      <c r="AI32" s="367"/>
      <c r="AJ32" s="362"/>
      <c r="AK32" s="362"/>
      <c r="AL32" s="362"/>
    </row>
    <row r="33" spans="1:38" ht="15.75" customHeight="1" x14ac:dyDescent="0.25">
      <c r="A33" s="4"/>
      <c r="B33" s="329"/>
      <c r="C33" s="49"/>
      <c r="D33" s="49"/>
      <c r="E33" s="49"/>
      <c r="F33" s="49"/>
      <c r="G33" s="49"/>
      <c r="H33" s="49"/>
      <c r="I33" s="49"/>
      <c r="J33" s="49"/>
      <c r="K33" s="49"/>
      <c r="L33" s="49"/>
      <c r="M33" s="49"/>
      <c r="N33" s="49"/>
      <c r="O33" s="363" t="s">
        <v>350</v>
      </c>
      <c r="P33" s="377"/>
      <c r="Q33" s="377">
        <v>248.60033333333331</v>
      </c>
      <c r="R33" s="377">
        <v>262.76933333333329</v>
      </c>
      <c r="S33" s="352">
        <v>260.1133333333334</v>
      </c>
      <c r="T33" s="352">
        <v>222.98033333333342</v>
      </c>
      <c r="U33" s="319">
        <v>236.8250000000001</v>
      </c>
      <c r="V33" s="319">
        <v>227.57700000000006</v>
      </c>
      <c r="W33" s="319">
        <v>220.74100000000004</v>
      </c>
      <c r="X33" s="320">
        <v>222.91605081502598</v>
      </c>
      <c r="AC33" s="212"/>
      <c r="AD33" s="212"/>
      <c r="AE33" s="212"/>
      <c r="AF33" s="212"/>
      <c r="AG33" s="212"/>
      <c r="AH33" s="212"/>
      <c r="AI33" s="367"/>
      <c r="AJ33" s="362"/>
      <c r="AK33" s="362"/>
      <c r="AL33" s="362"/>
    </row>
    <row r="34" spans="1:38" ht="15.75" customHeight="1" x14ac:dyDescent="0.25">
      <c r="A34" s="4"/>
      <c r="B34" s="329"/>
      <c r="C34" s="49"/>
      <c r="D34" s="49"/>
      <c r="E34" s="49"/>
      <c r="F34" s="49"/>
      <c r="G34" s="49"/>
      <c r="H34" s="49"/>
      <c r="I34" s="49"/>
      <c r="J34" s="49"/>
      <c r="K34" s="49"/>
      <c r="L34" s="49"/>
      <c r="M34" s="49"/>
      <c r="N34" s="49"/>
      <c r="O34" s="49"/>
      <c r="P34" s="367"/>
      <c r="Q34" s="49"/>
      <c r="R34" s="49"/>
      <c r="AC34" s="212"/>
      <c r="AD34" s="212"/>
      <c r="AE34" s="212"/>
      <c r="AF34" s="212"/>
      <c r="AG34" s="212"/>
      <c r="AH34" s="212"/>
      <c r="AI34" s="367"/>
      <c r="AJ34" s="362"/>
      <c r="AK34" s="362"/>
      <c r="AL34" s="362"/>
    </row>
    <row r="35" spans="1:38" ht="15.75" customHeight="1" x14ac:dyDescent="0.25">
      <c r="A35" s="4"/>
      <c r="B35" s="329"/>
      <c r="C35" s="49"/>
      <c r="D35" s="49"/>
      <c r="E35" s="49"/>
      <c r="F35" s="49"/>
      <c r="G35" s="49"/>
      <c r="H35" s="49"/>
      <c r="I35" s="49"/>
      <c r="J35" s="49"/>
      <c r="K35" s="49"/>
      <c r="L35" s="49"/>
      <c r="M35" s="49"/>
      <c r="N35" s="49"/>
      <c r="O35" s="49"/>
      <c r="P35" s="367"/>
      <c r="Q35" s="49"/>
      <c r="R35" s="49"/>
      <c r="AC35" s="212"/>
      <c r="AD35" s="212"/>
      <c r="AE35" s="212"/>
      <c r="AF35" s="212"/>
      <c r="AG35" s="212"/>
      <c r="AH35" s="212"/>
      <c r="AI35" s="367"/>
      <c r="AJ35" s="362"/>
      <c r="AK35" s="362"/>
      <c r="AL35" s="362"/>
    </row>
    <row r="36" spans="1:38" ht="15.75" customHeight="1" x14ac:dyDescent="0.25">
      <c r="A36" s="4"/>
      <c r="B36" s="329"/>
      <c r="C36" s="49"/>
      <c r="D36" s="49"/>
      <c r="E36" s="49"/>
      <c r="F36" s="49"/>
      <c r="G36" s="49"/>
      <c r="H36" s="49"/>
      <c r="I36" s="49"/>
      <c r="J36" s="49"/>
      <c r="K36" s="49"/>
      <c r="L36" s="49"/>
      <c r="M36" s="49"/>
      <c r="N36" s="49"/>
      <c r="O36" s="49"/>
      <c r="P36" s="367"/>
      <c r="Q36" s="49"/>
      <c r="R36" s="49"/>
      <c r="S36" s="49"/>
      <c r="T36" s="49"/>
      <c r="U36" s="49"/>
      <c r="V36" s="49"/>
      <c r="W36" s="49"/>
      <c r="X36" s="49"/>
      <c r="Y36" s="212"/>
      <c r="Z36" s="212"/>
      <c r="AA36" s="212"/>
      <c r="AB36" s="212"/>
      <c r="AC36" s="212"/>
      <c r="AD36" s="212"/>
      <c r="AE36" s="212"/>
      <c r="AF36" s="212"/>
      <c r="AG36" s="212"/>
      <c r="AH36" s="212"/>
      <c r="AI36" s="367"/>
      <c r="AJ36" s="362"/>
      <c r="AK36" s="362"/>
      <c r="AL36" s="362"/>
    </row>
    <row r="37" spans="1:38" ht="15.75" customHeight="1" x14ac:dyDescent="0.25">
      <c r="A37" s="4"/>
      <c r="B37" s="329"/>
      <c r="C37" s="49"/>
      <c r="D37" s="49"/>
      <c r="E37" s="49"/>
      <c r="F37" s="49"/>
      <c r="G37" s="49"/>
      <c r="H37" s="49"/>
      <c r="I37" s="49"/>
      <c r="J37" s="49"/>
      <c r="K37" s="49"/>
      <c r="L37" s="49"/>
      <c r="M37" s="49"/>
      <c r="N37" s="49"/>
      <c r="O37" s="49"/>
      <c r="P37" s="367"/>
      <c r="Q37" s="49"/>
      <c r="R37" s="49"/>
      <c r="S37" s="49"/>
      <c r="T37" s="49"/>
      <c r="U37" s="49"/>
      <c r="V37" s="49"/>
      <c r="W37" s="49"/>
      <c r="X37" s="49"/>
      <c r="Y37" s="212"/>
      <c r="Z37" s="212"/>
      <c r="AA37" s="212"/>
      <c r="AB37" s="212"/>
      <c r="AC37" s="212"/>
      <c r="AD37" s="212"/>
      <c r="AE37" s="212"/>
      <c r="AF37" s="212"/>
      <c r="AG37" s="212"/>
      <c r="AH37" s="212"/>
      <c r="AI37" s="367"/>
      <c r="AJ37" s="362"/>
      <c r="AK37" s="362"/>
      <c r="AL37" s="362"/>
    </row>
    <row r="38" spans="1:38" ht="15.75" customHeight="1" x14ac:dyDescent="0.25">
      <c r="A38" s="4"/>
      <c r="B38" s="329"/>
      <c r="C38" s="49"/>
      <c r="D38" s="49"/>
      <c r="E38" s="49"/>
      <c r="F38" s="49"/>
      <c r="G38" s="49"/>
      <c r="H38" s="49"/>
      <c r="I38" s="49"/>
      <c r="J38" s="49"/>
      <c r="K38" s="49"/>
      <c r="L38" s="49"/>
      <c r="M38" s="49"/>
      <c r="N38" s="49"/>
      <c r="O38" s="49"/>
      <c r="P38" s="367"/>
      <c r="Q38" s="49"/>
      <c r="R38" s="49"/>
      <c r="S38" s="49"/>
      <c r="T38" s="49"/>
      <c r="U38" s="49"/>
      <c r="V38" s="49"/>
      <c r="W38" s="49"/>
      <c r="X38" s="49"/>
      <c r="Y38" s="212"/>
      <c r="Z38" s="212"/>
      <c r="AA38" s="212"/>
      <c r="AB38" s="212"/>
      <c r="AC38" s="212"/>
      <c r="AD38" s="212"/>
      <c r="AE38" s="212"/>
      <c r="AF38" s="212"/>
      <c r="AG38" s="212"/>
      <c r="AH38" s="212"/>
      <c r="AI38" s="367"/>
      <c r="AJ38" s="362"/>
      <c r="AK38" s="362"/>
      <c r="AL38" s="362"/>
    </row>
    <row r="39" spans="1:38" ht="15.75" customHeight="1" x14ac:dyDescent="0.25">
      <c r="A39" s="4"/>
      <c r="B39" s="329"/>
      <c r="C39" s="49"/>
      <c r="D39" s="49"/>
      <c r="E39" s="49"/>
      <c r="F39" s="49"/>
      <c r="G39" s="49"/>
      <c r="H39" s="49"/>
      <c r="I39" s="49"/>
      <c r="J39" s="49"/>
      <c r="K39" s="49"/>
      <c r="L39" s="49"/>
      <c r="M39" s="49"/>
      <c r="N39" s="49"/>
      <c r="O39" s="49"/>
      <c r="P39" s="367"/>
      <c r="Q39" s="49"/>
      <c r="R39" s="49"/>
      <c r="S39" s="49"/>
      <c r="T39" s="49"/>
      <c r="U39" s="49"/>
      <c r="V39" s="49"/>
      <c r="W39" s="49"/>
      <c r="X39" s="49"/>
      <c r="Y39" s="212"/>
      <c r="Z39" s="212"/>
      <c r="AA39" s="212"/>
      <c r="AB39" s="212"/>
      <c r="AC39" s="212"/>
      <c r="AD39" s="212"/>
      <c r="AE39" s="212"/>
      <c r="AF39" s="212"/>
      <c r="AG39" s="212"/>
      <c r="AH39" s="212"/>
      <c r="AI39" s="367"/>
      <c r="AJ39" s="362"/>
      <c r="AK39" s="362"/>
      <c r="AL39" s="362"/>
    </row>
    <row r="40" spans="1:38" ht="15.75" customHeight="1" x14ac:dyDescent="0.25">
      <c r="A40" s="4"/>
      <c r="B40" s="329"/>
      <c r="C40" s="49"/>
      <c r="D40" s="49"/>
      <c r="E40" s="49"/>
      <c r="F40" s="49"/>
      <c r="G40" s="49"/>
      <c r="H40" s="49"/>
      <c r="I40" s="49"/>
      <c r="J40" s="49"/>
      <c r="K40" s="49"/>
      <c r="L40" s="49"/>
      <c r="M40" s="49"/>
      <c r="N40" s="49"/>
      <c r="O40" s="49"/>
      <c r="P40" s="367"/>
      <c r="Q40" s="49"/>
      <c r="R40" s="49"/>
      <c r="S40" s="49"/>
      <c r="T40" s="49"/>
      <c r="U40" s="49"/>
      <c r="V40" s="49"/>
      <c r="W40" s="49"/>
      <c r="X40" s="49"/>
      <c r="Y40" s="212"/>
      <c r="Z40" s="212"/>
      <c r="AA40" s="212"/>
      <c r="AB40" s="212"/>
      <c r="AC40" s="212"/>
      <c r="AD40" s="212"/>
      <c r="AE40" s="212"/>
      <c r="AF40" s="212"/>
      <c r="AG40" s="212"/>
      <c r="AH40" s="212"/>
      <c r="AI40" s="367"/>
      <c r="AJ40" s="362"/>
      <c r="AK40" s="362"/>
      <c r="AL40" s="362"/>
    </row>
    <row r="41" spans="1:38" ht="15.75" customHeight="1" x14ac:dyDescent="0.25">
      <c r="A41" s="4"/>
      <c r="B41" s="329"/>
      <c r="C41" s="49"/>
      <c r="D41" s="49"/>
      <c r="E41" s="49"/>
      <c r="F41" s="49"/>
      <c r="G41" s="49"/>
      <c r="H41" s="49"/>
      <c r="I41" s="49"/>
      <c r="J41" s="49"/>
      <c r="K41" s="49"/>
      <c r="L41" s="49"/>
      <c r="M41" s="49"/>
      <c r="N41" s="49"/>
      <c r="O41" s="49"/>
      <c r="P41" s="367"/>
      <c r="Q41" s="49"/>
      <c r="R41" s="49"/>
      <c r="S41" s="49"/>
      <c r="T41" s="49"/>
      <c r="U41" s="49"/>
      <c r="V41" s="49"/>
      <c r="W41" s="49"/>
      <c r="X41" s="49"/>
      <c r="Y41" s="212"/>
      <c r="Z41" s="212"/>
      <c r="AA41" s="212"/>
      <c r="AB41" s="212"/>
      <c r="AC41" s="212"/>
      <c r="AD41" s="212"/>
      <c r="AE41" s="212"/>
      <c r="AF41" s="212"/>
      <c r="AG41" s="212"/>
      <c r="AH41" s="212"/>
      <c r="AI41" s="367"/>
      <c r="AJ41" s="362"/>
      <c r="AK41" s="362"/>
      <c r="AL41" s="362"/>
    </row>
    <row r="42" spans="1:38" ht="15.75" customHeight="1" x14ac:dyDescent="0.25">
      <c r="A42" s="4"/>
      <c r="B42" s="329"/>
      <c r="C42" s="49"/>
      <c r="D42" s="49"/>
      <c r="E42" s="49"/>
      <c r="F42" s="49"/>
      <c r="G42" s="49"/>
      <c r="H42" s="49"/>
      <c r="I42" s="49"/>
      <c r="J42" s="49"/>
      <c r="K42" s="49"/>
      <c r="L42" s="49"/>
      <c r="M42" s="49"/>
      <c r="N42" s="49"/>
      <c r="O42" s="372"/>
      <c r="P42" s="367"/>
      <c r="Q42" s="212"/>
      <c r="R42" s="212"/>
      <c r="S42" s="212"/>
      <c r="T42" s="212"/>
      <c r="U42" s="212"/>
      <c r="V42" s="212"/>
      <c r="W42" s="212"/>
      <c r="X42" s="212"/>
      <c r="Y42" s="212"/>
      <c r="Z42" s="212"/>
      <c r="AA42" s="212"/>
      <c r="AB42" s="212"/>
      <c r="AC42" s="212"/>
      <c r="AD42" s="212"/>
      <c r="AE42" s="212"/>
      <c r="AF42" s="212"/>
      <c r="AG42" s="212"/>
      <c r="AH42" s="212"/>
      <c r="AI42" s="367"/>
      <c r="AJ42" s="362"/>
      <c r="AK42" s="362"/>
      <c r="AL42" s="362"/>
    </row>
    <row r="43" spans="1:38" x14ac:dyDescent="0.25">
      <c r="C43" s="49"/>
      <c r="D43" s="49"/>
      <c r="E43" s="368"/>
      <c r="F43" s="49"/>
      <c r="G43" s="49"/>
      <c r="H43" s="49"/>
      <c r="I43" s="49"/>
      <c r="J43" s="49"/>
      <c r="K43" s="49"/>
      <c r="L43" s="49"/>
      <c r="M43" s="49"/>
      <c r="N43" s="49"/>
      <c r="P43" s="367"/>
      <c r="Q43" s="49"/>
      <c r="R43" s="49"/>
      <c r="S43" s="49"/>
      <c r="T43" s="49"/>
      <c r="U43" s="49"/>
      <c r="V43" s="49"/>
      <c r="W43" s="49"/>
      <c r="X43" s="49"/>
      <c r="Y43" s="49"/>
      <c r="Z43" s="49"/>
      <c r="AA43" s="49"/>
      <c r="AB43" s="49"/>
      <c r="AC43" s="49"/>
      <c r="AD43" s="49"/>
      <c r="AE43" s="49"/>
      <c r="AF43" s="49"/>
      <c r="AG43" s="49"/>
      <c r="AH43" s="49"/>
      <c r="AI43" s="49"/>
    </row>
    <row r="44" spans="1:38" x14ac:dyDescent="0.25">
      <c r="B44" s="391" t="s">
        <v>352</v>
      </c>
      <c r="C44" s="49"/>
      <c r="D44" s="49"/>
      <c r="E44" s="49"/>
      <c r="F44" s="49"/>
      <c r="G44" s="49"/>
      <c r="H44" s="49"/>
      <c r="I44" s="49"/>
      <c r="J44" s="49"/>
      <c r="K44" s="49"/>
      <c r="L44" s="49"/>
      <c r="M44" s="49"/>
      <c r="N44" s="49"/>
      <c r="O44" s="49"/>
      <c r="P44" s="367"/>
      <c r="Q44" s="49"/>
      <c r="R44" s="49"/>
      <c r="S44" s="49"/>
      <c r="T44" s="49"/>
      <c r="U44" s="49"/>
      <c r="V44" s="49"/>
      <c r="W44" s="49"/>
      <c r="X44" s="49"/>
      <c r="Y44" s="49"/>
      <c r="Z44" s="49"/>
      <c r="AA44" s="49"/>
      <c r="AB44" s="49"/>
      <c r="AC44" s="49"/>
      <c r="AD44" s="49"/>
      <c r="AE44" s="49"/>
      <c r="AF44" s="49"/>
      <c r="AG44" s="49"/>
      <c r="AH44" s="49"/>
      <c r="AI44" s="49"/>
    </row>
    <row r="45" spans="1:38" ht="27" customHeight="1" x14ac:dyDescent="0.25">
      <c r="B45" s="1397" t="s">
        <v>353</v>
      </c>
      <c r="C45" s="1398"/>
      <c r="D45" s="1399"/>
      <c r="E45" s="1399"/>
      <c r="F45" s="1399"/>
      <c r="G45" s="1399"/>
      <c r="H45" s="1399"/>
      <c r="I45" s="1399"/>
      <c r="J45" s="1399"/>
      <c r="K45" s="1399"/>
      <c r="L45" s="1399"/>
      <c r="M45" s="1399"/>
      <c r="N45" s="1399"/>
      <c r="O45" s="1399"/>
      <c r="P45" s="1399"/>
      <c r="Q45" s="1399"/>
      <c r="R45" s="1399"/>
      <c r="S45" s="1399"/>
      <c r="T45" s="1399"/>
      <c r="U45" s="1399"/>
      <c r="V45" s="1399"/>
      <c r="W45" s="1399"/>
      <c r="X45" s="1399"/>
      <c r="Y45" s="1399"/>
      <c r="Z45" s="1399"/>
      <c r="AA45" s="1399"/>
      <c r="AB45" s="1399"/>
      <c r="AC45" s="1400"/>
      <c r="AD45" s="335"/>
      <c r="AE45" s="335"/>
      <c r="AF45" s="335"/>
      <c r="AG45" s="335"/>
      <c r="AH45" s="334" t="s">
        <v>335</v>
      </c>
      <c r="AI45" s="397"/>
    </row>
    <row r="46" spans="1:38" ht="17.850000000000001" customHeight="1" x14ac:dyDescent="0.25">
      <c r="B46" s="404" t="s">
        <v>354</v>
      </c>
      <c r="C46" s="49"/>
      <c r="D46" s="415"/>
      <c r="E46" s="405"/>
      <c r="F46" s="405"/>
      <c r="G46" s="405"/>
      <c r="H46" s="402"/>
      <c r="I46" s="402"/>
      <c r="J46" s="360">
        <f>SUM(J47:J49)</f>
        <v>692.8</v>
      </c>
      <c r="K46" s="360">
        <f t="shared" ref="K46:P46" si="18">SUM(K47:K49)</f>
        <v>39.200000000000003</v>
      </c>
      <c r="L46" s="360">
        <f t="shared" si="18"/>
        <v>29</v>
      </c>
      <c r="M46" s="360">
        <f t="shared" si="18"/>
        <v>27</v>
      </c>
      <c r="N46" s="360">
        <f t="shared" si="18"/>
        <v>18</v>
      </c>
      <c r="O46" s="360">
        <f t="shared" si="18"/>
        <v>0</v>
      </c>
      <c r="P46" s="298">
        <f t="shared" si="18"/>
        <v>0</v>
      </c>
      <c r="Q46" s="360"/>
      <c r="R46" s="360"/>
      <c r="S46" s="360"/>
      <c r="T46" s="400"/>
      <c r="U46" s="400"/>
      <c r="V46" s="400"/>
      <c r="W46" s="400"/>
      <c r="X46" s="400"/>
      <c r="Y46" s="400"/>
      <c r="Z46" s="400"/>
      <c r="AA46" s="400"/>
      <c r="AB46" s="400"/>
      <c r="AC46" s="332"/>
      <c r="AD46" s="313"/>
      <c r="AE46" s="313"/>
      <c r="AF46" s="313"/>
      <c r="AG46" s="313"/>
      <c r="AH46" s="343">
        <f t="shared" ref="AH46:AH60" si="19">SUM(I46:Y46)/4</f>
        <v>201.5</v>
      </c>
      <c r="AI46" s="1395" t="s">
        <v>355</v>
      </c>
      <c r="AJ46" s="1396"/>
    </row>
    <row r="47" spans="1:38" x14ac:dyDescent="0.25">
      <c r="B47" s="365" t="s">
        <v>149</v>
      </c>
      <c r="C47" s="49"/>
      <c r="D47" s="346"/>
      <c r="E47" s="49"/>
      <c r="F47" s="49"/>
      <c r="G47" s="49"/>
      <c r="H47" s="50"/>
      <c r="I47" s="50"/>
      <c r="J47" s="306">
        <f>C67*4</f>
        <v>600</v>
      </c>
      <c r="K47" s="306"/>
      <c r="L47" s="306"/>
      <c r="M47" s="306"/>
      <c r="N47" s="306"/>
      <c r="O47" s="306"/>
      <c r="P47" s="208"/>
      <c r="Q47" s="306"/>
      <c r="R47" s="306"/>
      <c r="S47" s="306"/>
      <c r="T47" s="313"/>
      <c r="U47" s="313"/>
      <c r="V47" s="313"/>
      <c r="W47" s="313"/>
      <c r="X47" s="313"/>
      <c r="Y47" s="313"/>
      <c r="Z47" s="313"/>
      <c r="AA47" s="313"/>
      <c r="AB47" s="313"/>
      <c r="AC47" s="313"/>
      <c r="AD47" s="313"/>
      <c r="AE47" s="313"/>
      <c r="AF47" s="313"/>
      <c r="AG47" s="313"/>
      <c r="AH47" s="343">
        <f t="shared" si="19"/>
        <v>150</v>
      </c>
      <c r="AI47" s="306"/>
    </row>
    <row r="48" spans="1:38" ht="15" customHeight="1" x14ac:dyDescent="0.25">
      <c r="B48" s="365" t="s">
        <v>150</v>
      </c>
      <c r="C48" s="49"/>
      <c r="D48" s="346"/>
      <c r="E48" s="49"/>
      <c r="F48" s="49"/>
      <c r="G48" s="49"/>
      <c r="H48" s="50"/>
      <c r="I48" s="50"/>
      <c r="J48" s="306">
        <v>28.4</v>
      </c>
      <c r="K48" s="306">
        <v>15.8</v>
      </c>
      <c r="L48" s="306">
        <v>15.2</v>
      </c>
      <c r="M48" s="306">
        <v>10.9</v>
      </c>
      <c r="N48" s="306">
        <v>18</v>
      </c>
      <c r="O48" s="306"/>
      <c r="P48" s="208"/>
      <c r="Q48" s="306"/>
      <c r="R48" s="306"/>
      <c r="S48" s="306">
        <v>20</v>
      </c>
      <c r="T48" s="361">
        <v>10</v>
      </c>
      <c r="U48" s="313"/>
      <c r="V48" s="313"/>
      <c r="W48" s="313"/>
      <c r="X48" s="313"/>
      <c r="Y48" s="313"/>
      <c r="Z48" s="313"/>
      <c r="AA48" s="313"/>
      <c r="AB48" s="313"/>
      <c r="AC48" s="313"/>
      <c r="AD48" s="313"/>
      <c r="AE48" s="313"/>
      <c r="AF48" s="313"/>
      <c r="AG48" s="313"/>
      <c r="AH48" s="343">
        <f t="shared" si="19"/>
        <v>29.575000000000003</v>
      </c>
      <c r="AI48" s="306"/>
    </row>
    <row r="49" spans="1:92" x14ac:dyDescent="0.25">
      <c r="B49" s="365" t="s">
        <v>152</v>
      </c>
      <c r="C49" s="49"/>
      <c r="D49" s="346"/>
      <c r="E49" s="49"/>
      <c r="F49" s="49"/>
      <c r="G49" s="49"/>
      <c r="H49" s="50"/>
      <c r="I49" s="50"/>
      <c r="J49" s="211">
        <v>64.400000000000006</v>
      </c>
      <c r="K49" s="211">
        <v>23.4</v>
      </c>
      <c r="L49" s="211">
        <v>13.8</v>
      </c>
      <c r="M49" s="211">
        <v>16.100000000000001</v>
      </c>
      <c r="N49" s="306"/>
      <c r="O49" s="306"/>
      <c r="P49" s="208"/>
      <c r="Q49" s="306"/>
      <c r="R49" s="306"/>
      <c r="S49" s="306"/>
      <c r="T49" s="313"/>
      <c r="U49" s="313"/>
      <c r="V49" s="313"/>
      <c r="W49" s="313"/>
      <c r="X49" s="313"/>
      <c r="Y49" s="313"/>
      <c r="Z49" s="313"/>
      <c r="AA49" s="313"/>
      <c r="AB49" s="313"/>
      <c r="AC49" s="313"/>
      <c r="AD49" s="313"/>
      <c r="AE49" s="313"/>
      <c r="AF49" s="313"/>
      <c r="AG49" s="313"/>
      <c r="AH49" s="343">
        <f t="shared" si="19"/>
        <v>29.425000000000004</v>
      </c>
      <c r="AI49" s="306"/>
    </row>
    <row r="50" spans="1:92" ht="16.5" customHeight="1" x14ac:dyDescent="0.25">
      <c r="B50" s="404" t="s">
        <v>356</v>
      </c>
      <c r="C50" s="49"/>
      <c r="D50" s="346"/>
      <c r="E50" s="49"/>
      <c r="F50" s="49"/>
      <c r="G50" s="49"/>
      <c r="H50" s="50"/>
      <c r="I50" s="50"/>
      <c r="J50" s="50"/>
      <c r="K50" s="50"/>
      <c r="L50" s="50"/>
      <c r="M50" s="306">
        <f>SUM(M51:M55)</f>
        <v>43</v>
      </c>
      <c r="N50" s="306">
        <f t="shared" ref="N50:AD50" si="20">SUM(N51:N55)</f>
        <v>70</v>
      </c>
      <c r="O50" s="306">
        <f t="shared" si="20"/>
        <v>59.999999999999964</v>
      </c>
      <c r="P50" s="208">
        <f t="shared" si="20"/>
        <v>50</v>
      </c>
      <c r="Q50" s="306">
        <f t="shared" si="20"/>
        <v>44.999999999999964</v>
      </c>
      <c r="R50" s="306">
        <f t="shared" si="20"/>
        <v>44.999999999999964</v>
      </c>
      <c r="S50" s="306">
        <f t="shared" si="20"/>
        <v>44.999999999999964</v>
      </c>
      <c r="T50" s="313">
        <f t="shared" si="20"/>
        <v>44.999999999999964</v>
      </c>
      <c r="U50" s="313">
        <f t="shared" si="20"/>
        <v>44.999999999999964</v>
      </c>
      <c r="V50" s="313">
        <f t="shared" si="20"/>
        <v>44.999999999999964</v>
      </c>
      <c r="W50" s="313">
        <f t="shared" si="20"/>
        <v>44.999999999999964</v>
      </c>
      <c r="X50" s="313">
        <f>SUM(X51:X55)</f>
        <v>44.999999999999964</v>
      </c>
      <c r="Y50" s="313">
        <f t="shared" si="20"/>
        <v>19</v>
      </c>
      <c r="Z50" s="313">
        <f t="shared" si="20"/>
        <v>0</v>
      </c>
      <c r="AA50" s="313">
        <f t="shared" si="20"/>
        <v>0</v>
      </c>
      <c r="AB50" s="313">
        <f t="shared" si="20"/>
        <v>0</v>
      </c>
      <c r="AC50" s="313">
        <f t="shared" si="20"/>
        <v>0</v>
      </c>
      <c r="AD50" s="313">
        <f t="shared" si="20"/>
        <v>0</v>
      </c>
      <c r="AE50" s="313"/>
      <c r="AF50" s="313"/>
      <c r="AG50" s="313"/>
      <c r="AH50" s="343">
        <f t="shared" si="19"/>
        <v>150.49999999999991</v>
      </c>
      <c r="AI50" s="1395" t="s">
        <v>357</v>
      </c>
      <c r="AJ50" s="1396"/>
    </row>
    <row r="51" spans="1:92" x14ac:dyDescent="0.25">
      <c r="B51" s="365" t="s">
        <v>343</v>
      </c>
      <c r="C51" s="49"/>
      <c r="D51" s="346"/>
      <c r="E51" s="49"/>
      <c r="F51" s="49"/>
      <c r="G51" s="49"/>
      <c r="H51" s="50"/>
      <c r="I51" s="50"/>
      <c r="J51" s="50"/>
      <c r="K51" s="50"/>
      <c r="L51" s="50"/>
      <c r="M51" s="306">
        <f>C70/12*4</f>
        <v>9.6666666666666661</v>
      </c>
      <c r="N51" s="306">
        <f>M51</f>
        <v>9.6666666666666661</v>
      </c>
      <c r="O51" s="306">
        <f t="shared" ref="O51:X51" si="21">N51</f>
        <v>9.6666666666666661</v>
      </c>
      <c r="P51" s="208">
        <f t="shared" si="21"/>
        <v>9.6666666666666661</v>
      </c>
      <c r="Q51" s="306">
        <f t="shared" si="21"/>
        <v>9.6666666666666661</v>
      </c>
      <c r="R51" s="306">
        <f t="shared" si="21"/>
        <v>9.6666666666666661</v>
      </c>
      <c r="S51" s="306">
        <f t="shared" si="21"/>
        <v>9.6666666666666661</v>
      </c>
      <c r="T51" s="313">
        <f t="shared" si="21"/>
        <v>9.6666666666666661</v>
      </c>
      <c r="U51" s="313">
        <f t="shared" si="21"/>
        <v>9.6666666666666661</v>
      </c>
      <c r="V51" s="313">
        <f t="shared" si="21"/>
        <v>9.6666666666666661</v>
      </c>
      <c r="W51" s="313">
        <f t="shared" si="21"/>
        <v>9.6666666666666661</v>
      </c>
      <c r="X51" s="313">
        <f t="shared" si="21"/>
        <v>9.6666666666666661</v>
      </c>
      <c r="Y51" s="321"/>
      <c r="Z51" s="321"/>
      <c r="AA51" s="321"/>
      <c r="AB51" s="321"/>
      <c r="AC51" s="321"/>
      <c r="AD51" s="321"/>
      <c r="AE51" s="321"/>
      <c r="AF51" s="321"/>
      <c r="AG51" s="321"/>
      <c r="AH51" s="343">
        <f t="shared" si="19"/>
        <v>29.000000000000004</v>
      </c>
      <c r="AI51" s="1395"/>
      <c r="AJ51" s="1396"/>
    </row>
    <row r="52" spans="1:92" ht="41.85" customHeight="1" x14ac:dyDescent="0.25">
      <c r="B52" s="365" t="s">
        <v>150</v>
      </c>
      <c r="C52" s="49"/>
      <c r="D52" s="346"/>
      <c r="E52" s="49"/>
      <c r="F52" s="49"/>
      <c r="G52" s="49"/>
      <c r="H52" s="50"/>
      <c r="I52" s="50"/>
      <c r="J52" s="50"/>
      <c r="K52" s="50"/>
      <c r="L52" s="50"/>
      <c r="M52" s="389">
        <f>C81/12*4 - 7</f>
        <v>20.333333333333332</v>
      </c>
      <c r="N52" s="389">
        <f>C81/12*4 + 20</f>
        <v>47.333333333333329</v>
      </c>
      <c r="O52" s="389">
        <v>37.3333333333333</v>
      </c>
      <c r="P52" s="299">
        <v>27.333333333333332</v>
      </c>
      <c r="Q52" s="389">
        <v>22.3333333333333</v>
      </c>
      <c r="R52" s="389">
        <v>22.3333333333333</v>
      </c>
      <c r="S52" s="389">
        <v>22.3333333333333</v>
      </c>
      <c r="T52" s="333">
        <v>22.3333333333333</v>
      </c>
      <c r="U52" s="333">
        <v>22.3333333333333</v>
      </c>
      <c r="V52" s="333">
        <v>22.3333333333333</v>
      </c>
      <c r="W52" s="333">
        <v>22.3333333333333</v>
      </c>
      <c r="X52" s="333">
        <v>22.3333333333333</v>
      </c>
      <c r="Y52" s="333">
        <v>19</v>
      </c>
      <c r="Z52" s="333"/>
      <c r="AA52" s="333"/>
      <c r="AB52" s="333"/>
      <c r="AC52" s="333"/>
      <c r="AD52" s="333"/>
      <c r="AE52" s="333"/>
      <c r="AF52" s="333"/>
      <c r="AG52" s="333"/>
      <c r="AH52" s="343">
        <f t="shared" si="19"/>
        <v>82.499999999999943</v>
      </c>
      <c r="AI52" s="411" t="s">
        <v>358</v>
      </c>
    </row>
    <row r="53" spans="1:92" x14ac:dyDescent="0.25">
      <c r="B53" s="365" t="s">
        <v>152</v>
      </c>
      <c r="C53" s="49"/>
      <c r="D53" s="346"/>
      <c r="E53" s="49"/>
      <c r="F53" s="49"/>
      <c r="G53" s="49"/>
      <c r="H53" s="50"/>
      <c r="I53" s="50"/>
      <c r="J53" s="50"/>
      <c r="K53" s="50"/>
      <c r="L53" s="50"/>
      <c r="M53" s="306">
        <f>C82/12*4</f>
        <v>1</v>
      </c>
      <c r="N53" s="306">
        <f>C82/12*4</f>
        <v>1</v>
      </c>
      <c r="O53" s="306">
        <f t="shared" ref="O53:X53" si="22">$C$82/12*4</f>
        <v>1</v>
      </c>
      <c r="P53" s="208">
        <f t="shared" si="22"/>
        <v>1</v>
      </c>
      <c r="Q53" s="306">
        <f t="shared" si="22"/>
        <v>1</v>
      </c>
      <c r="R53" s="306">
        <f t="shared" si="22"/>
        <v>1</v>
      </c>
      <c r="S53" s="306">
        <f t="shared" si="22"/>
        <v>1</v>
      </c>
      <c r="T53" s="313">
        <f t="shared" si="22"/>
        <v>1</v>
      </c>
      <c r="U53" s="313">
        <f t="shared" si="22"/>
        <v>1</v>
      </c>
      <c r="V53" s="313">
        <f t="shared" si="22"/>
        <v>1</v>
      </c>
      <c r="W53" s="313">
        <f t="shared" si="22"/>
        <v>1</v>
      </c>
      <c r="X53" s="313">
        <f t="shared" si="22"/>
        <v>1</v>
      </c>
      <c r="Y53" s="321"/>
      <c r="Z53" s="321"/>
      <c r="AA53" s="321"/>
      <c r="AB53" s="321"/>
      <c r="AC53" s="321"/>
      <c r="AD53" s="321"/>
      <c r="AE53" s="321"/>
      <c r="AF53" s="321"/>
      <c r="AG53" s="321"/>
      <c r="AH53" s="343">
        <f t="shared" si="19"/>
        <v>3</v>
      </c>
      <c r="AI53" s="50"/>
    </row>
    <row r="54" spans="1:92" ht="13.35" customHeight="1" x14ac:dyDescent="0.25">
      <c r="B54" s="365" t="s">
        <v>359</v>
      </c>
      <c r="C54" s="49"/>
      <c r="D54" s="346"/>
      <c r="E54" s="49"/>
      <c r="F54" s="49"/>
      <c r="G54" s="49"/>
      <c r="H54" s="50"/>
      <c r="I54" s="50"/>
      <c r="J54" s="50"/>
      <c r="K54" s="50"/>
      <c r="L54" s="50"/>
      <c r="M54" s="306">
        <f t="shared" ref="M54:X54" si="23">$C$83/12*4</f>
        <v>11.333333333333334</v>
      </c>
      <c r="N54" s="306">
        <f t="shared" si="23"/>
        <v>11.333333333333334</v>
      </c>
      <c r="O54" s="306">
        <f t="shared" si="23"/>
        <v>11.333333333333334</v>
      </c>
      <c r="P54" s="208">
        <f t="shared" si="23"/>
        <v>11.333333333333334</v>
      </c>
      <c r="Q54" s="306">
        <f t="shared" si="23"/>
        <v>11.333333333333334</v>
      </c>
      <c r="R54" s="306">
        <f t="shared" si="23"/>
        <v>11.333333333333334</v>
      </c>
      <c r="S54" s="306">
        <f t="shared" si="23"/>
        <v>11.333333333333334</v>
      </c>
      <c r="T54" s="313">
        <f t="shared" si="23"/>
        <v>11.333333333333334</v>
      </c>
      <c r="U54" s="313">
        <f t="shared" si="23"/>
        <v>11.333333333333334</v>
      </c>
      <c r="V54" s="313">
        <f t="shared" si="23"/>
        <v>11.333333333333334</v>
      </c>
      <c r="W54" s="313">
        <f t="shared" si="23"/>
        <v>11.333333333333334</v>
      </c>
      <c r="X54" s="313">
        <f t="shared" si="23"/>
        <v>11.333333333333334</v>
      </c>
      <c r="Y54" s="321"/>
      <c r="Z54" s="321"/>
      <c r="AA54" s="321"/>
      <c r="AB54" s="321"/>
      <c r="AC54" s="321"/>
      <c r="AD54" s="321"/>
      <c r="AE54" s="321"/>
      <c r="AF54" s="321"/>
      <c r="AG54" s="321"/>
      <c r="AH54" s="343">
        <f t="shared" si="19"/>
        <v>33.999999999999993</v>
      </c>
      <c r="AI54" s="50"/>
    </row>
    <row r="55" spans="1:92" ht="29.25" customHeight="1" x14ac:dyDescent="0.25">
      <c r="B55" s="365" t="s">
        <v>360</v>
      </c>
      <c r="C55" s="49"/>
      <c r="D55" s="346"/>
      <c r="E55" s="49"/>
      <c r="F55" s="49"/>
      <c r="G55" s="49"/>
      <c r="H55" s="50"/>
      <c r="I55" s="50"/>
      <c r="J55" s="50"/>
      <c r="K55" s="50"/>
      <c r="L55" s="50"/>
      <c r="M55" s="306">
        <f t="shared" ref="M55:X55" si="24">$C$84/12*4</f>
        <v>0.66666666666666663</v>
      </c>
      <c r="N55" s="306">
        <f t="shared" si="24"/>
        <v>0.66666666666666663</v>
      </c>
      <c r="O55" s="306">
        <f t="shared" si="24"/>
        <v>0.66666666666666663</v>
      </c>
      <c r="P55" s="208">
        <f t="shared" si="24"/>
        <v>0.66666666666666663</v>
      </c>
      <c r="Q55" s="306">
        <f t="shared" si="24"/>
        <v>0.66666666666666663</v>
      </c>
      <c r="R55" s="306">
        <f t="shared" si="24"/>
        <v>0.66666666666666663</v>
      </c>
      <c r="S55" s="306">
        <f t="shared" si="24"/>
        <v>0.66666666666666663</v>
      </c>
      <c r="T55" s="313">
        <f t="shared" si="24"/>
        <v>0.66666666666666663</v>
      </c>
      <c r="U55" s="313">
        <f t="shared" si="24"/>
        <v>0.66666666666666663</v>
      </c>
      <c r="V55" s="313">
        <f t="shared" si="24"/>
        <v>0.66666666666666663</v>
      </c>
      <c r="W55" s="313">
        <f t="shared" si="24"/>
        <v>0.66666666666666663</v>
      </c>
      <c r="X55" s="313">
        <f t="shared" si="24"/>
        <v>0.66666666666666663</v>
      </c>
      <c r="Y55" s="321"/>
      <c r="Z55" s="321"/>
      <c r="AA55" s="321"/>
      <c r="AB55" s="321"/>
      <c r="AC55" s="321"/>
      <c r="AD55" s="321"/>
      <c r="AE55" s="321"/>
      <c r="AF55" s="321"/>
      <c r="AG55" s="321"/>
      <c r="AH55" s="343">
        <f t="shared" si="19"/>
        <v>2</v>
      </c>
      <c r="AI55" s="50"/>
    </row>
    <row r="56" spans="1:92" ht="44.25" customHeight="1" x14ac:dyDescent="0.25">
      <c r="B56" s="404" t="s">
        <v>361</v>
      </c>
      <c r="C56" s="49"/>
      <c r="D56" s="346"/>
      <c r="E56" s="49"/>
      <c r="F56" s="49"/>
      <c r="G56" s="49"/>
      <c r="H56" s="50"/>
      <c r="I56" s="50"/>
      <c r="J56" s="50"/>
      <c r="K56" s="50"/>
      <c r="L56" s="50"/>
      <c r="M56" s="306"/>
      <c r="N56" s="306">
        <f t="shared" ref="N56:AD56" si="25">SUM(N57:N61)</f>
        <v>954.03959999999972</v>
      </c>
      <c r="O56" s="306">
        <f t="shared" si="25"/>
        <v>85.500399999999999</v>
      </c>
      <c r="P56" s="208">
        <f t="shared" si="25"/>
        <v>83.481000000000009</v>
      </c>
      <c r="Q56" s="306">
        <f t="shared" si="25"/>
        <v>662.76099999999997</v>
      </c>
      <c r="R56" s="306">
        <f t="shared" si="25"/>
        <v>83.481000000000009</v>
      </c>
      <c r="S56" s="306">
        <f t="shared" si="25"/>
        <v>83.481000000000009</v>
      </c>
      <c r="T56" s="313">
        <f t="shared" si="25"/>
        <v>62.811999999999998</v>
      </c>
      <c r="U56" s="313">
        <f t="shared" si="25"/>
        <v>62.811999999999998</v>
      </c>
      <c r="V56" s="313">
        <f t="shared" si="25"/>
        <v>62.811999999999998</v>
      </c>
      <c r="W56" s="313">
        <f t="shared" si="25"/>
        <v>62.811999999999998</v>
      </c>
      <c r="X56" s="313">
        <f t="shared" si="25"/>
        <v>41.554000000000002</v>
      </c>
      <c r="Y56" s="313">
        <f t="shared" si="25"/>
        <v>41.554000000000002</v>
      </c>
      <c r="Z56" s="313">
        <f t="shared" si="25"/>
        <v>41.554000000000002</v>
      </c>
      <c r="AA56" s="313">
        <f t="shared" si="25"/>
        <v>41.554000000000002</v>
      </c>
      <c r="AB56" s="313">
        <f t="shared" si="25"/>
        <v>27.678000000000001</v>
      </c>
      <c r="AC56" s="313">
        <f t="shared" si="25"/>
        <v>27.678000000000001</v>
      </c>
      <c r="AD56" s="313">
        <f t="shared" si="25"/>
        <v>27.678000000000001</v>
      </c>
      <c r="AE56" s="313"/>
      <c r="AF56" s="313"/>
      <c r="AG56" s="313"/>
      <c r="AH56" s="343">
        <f t="shared" si="19"/>
        <v>571.77499999999986</v>
      </c>
      <c r="AI56" s="1395" t="s">
        <v>362</v>
      </c>
      <c r="AJ56" s="1396"/>
    </row>
    <row r="57" spans="1:92" ht="17.850000000000001" customHeight="1" x14ac:dyDescent="0.25">
      <c r="B57" s="365" t="s">
        <v>348</v>
      </c>
      <c r="C57" s="49"/>
      <c r="D57" s="346"/>
      <c r="E57" s="49"/>
      <c r="F57" s="49"/>
      <c r="G57" s="49"/>
      <c r="H57" s="50"/>
      <c r="I57" s="50"/>
      <c r="J57" s="50"/>
      <c r="K57" s="50"/>
      <c r="L57" s="50"/>
      <c r="M57" s="306"/>
      <c r="N57" s="306">
        <f>0.6*C86*4</f>
        <v>868.91999999999985</v>
      </c>
      <c r="O57" s="306"/>
      <c r="P57" s="208"/>
      <c r="Q57" s="306">
        <f>0.4*C86*4</f>
        <v>579.28</v>
      </c>
      <c r="R57" s="306"/>
      <c r="S57" s="306"/>
      <c r="T57" s="313"/>
      <c r="U57" s="313"/>
      <c r="V57" s="313"/>
      <c r="W57" s="313"/>
      <c r="X57" s="313"/>
      <c r="Y57" s="313"/>
      <c r="Z57" s="313"/>
      <c r="AA57" s="313"/>
      <c r="AB57" s="313"/>
      <c r="AC57" s="313"/>
      <c r="AD57" s="313"/>
      <c r="AE57" s="313"/>
      <c r="AF57" s="313"/>
      <c r="AG57" s="313"/>
      <c r="AH57" s="343">
        <f t="shared" si="19"/>
        <v>362.04999999999995</v>
      </c>
      <c r="AI57" s="385" t="s">
        <v>363</v>
      </c>
      <c r="AJ57" s="385"/>
    </row>
    <row r="58" spans="1:92" x14ac:dyDescent="0.25">
      <c r="B58" s="365" t="s">
        <v>150</v>
      </c>
      <c r="C58" s="49"/>
      <c r="D58" s="346"/>
      <c r="E58" s="49"/>
      <c r="F58" s="49"/>
      <c r="G58" s="49"/>
      <c r="H58" s="50"/>
      <c r="I58" s="50"/>
      <c r="J58" s="50"/>
      <c r="K58" s="50"/>
      <c r="L58" s="50"/>
      <c r="M58" s="306"/>
      <c r="N58" s="306">
        <f>'ARP Quarterly'!D9</f>
        <v>24.693999999999999</v>
      </c>
      <c r="O58" s="306">
        <f>'ARP Quarterly'!E9</f>
        <v>24.693999999999999</v>
      </c>
      <c r="P58" s="208">
        <f>'ARP Quarterly'!F9</f>
        <v>46.79</v>
      </c>
      <c r="Q58" s="306">
        <f>'ARP Quarterly'!G9</f>
        <v>46.79</v>
      </c>
      <c r="R58" s="306">
        <f>'ARP Quarterly'!H9</f>
        <v>46.79</v>
      </c>
      <c r="S58" s="306">
        <f>'ARP Quarterly'!I9</f>
        <v>46.79</v>
      </c>
      <c r="T58" s="313">
        <f>'ARP Quarterly'!J9</f>
        <v>38.595999999999997</v>
      </c>
      <c r="U58" s="313">
        <f>'ARP Quarterly'!K9</f>
        <v>38.595999999999997</v>
      </c>
      <c r="V58" s="313">
        <f>'ARP Quarterly'!L9</f>
        <v>38.595999999999997</v>
      </c>
      <c r="W58" s="313">
        <f>'ARP Quarterly'!M9</f>
        <v>38.595999999999997</v>
      </c>
      <c r="X58" s="313">
        <f>'ARP Quarterly'!N9</f>
        <v>31.911000000000001</v>
      </c>
      <c r="Y58" s="313">
        <f>'ARP Quarterly'!O9</f>
        <v>31.911000000000001</v>
      </c>
      <c r="Z58" s="313">
        <f>'ARP Quarterly'!P9</f>
        <v>31.911000000000001</v>
      </c>
      <c r="AA58" s="313">
        <f>'ARP Quarterly'!Q9</f>
        <v>31.911000000000001</v>
      </c>
      <c r="AB58" s="313">
        <f>'ARP Quarterly'!R9</f>
        <v>23.099</v>
      </c>
      <c r="AC58" s="313">
        <f>'ARP Quarterly'!S9</f>
        <v>23.099</v>
      </c>
      <c r="AD58" s="313">
        <f>'ARP Quarterly'!T9</f>
        <v>23.099</v>
      </c>
      <c r="AE58" s="313"/>
      <c r="AF58" s="313"/>
      <c r="AG58" s="313"/>
      <c r="AH58" s="343">
        <f t="shared" si="19"/>
        <v>113.68849999999999</v>
      </c>
      <c r="AI58" s="306"/>
    </row>
    <row r="59" spans="1:92" x14ac:dyDescent="0.25">
      <c r="B59" s="365" t="s">
        <v>152</v>
      </c>
      <c r="C59" s="49"/>
      <c r="D59" s="346"/>
      <c r="E59" s="49"/>
      <c r="F59" s="49"/>
      <c r="G59" s="49"/>
      <c r="H59" s="50"/>
      <c r="I59" s="50"/>
      <c r="J59" s="50"/>
      <c r="K59" s="50"/>
      <c r="L59" s="50"/>
      <c r="M59" s="306"/>
      <c r="N59" s="306">
        <f>'ARP Quarterly'!D14</f>
        <v>1.1696</v>
      </c>
      <c r="O59" s="306">
        <f>'ARP Quarterly'!E14</f>
        <v>1.5503999999999998</v>
      </c>
      <c r="P59" s="208">
        <f>'ARP Quarterly'!F14</f>
        <v>1.02</v>
      </c>
      <c r="Q59" s="306">
        <f>'ARP Quarterly'!G14</f>
        <v>1.02</v>
      </c>
      <c r="R59" s="306">
        <f>'ARP Quarterly'!H14</f>
        <v>1.02</v>
      </c>
      <c r="S59" s="306">
        <f>'ARP Quarterly'!I14</f>
        <v>1.02</v>
      </c>
      <c r="T59" s="313">
        <f>'ARP Quarterly'!J14</f>
        <v>0</v>
      </c>
      <c r="U59" s="313">
        <f>'ARP Quarterly'!K14</f>
        <v>0</v>
      </c>
      <c r="V59" s="313">
        <f>'ARP Quarterly'!L14</f>
        <v>0</v>
      </c>
      <c r="W59" s="313">
        <f>'ARP Quarterly'!M14</f>
        <v>0</v>
      </c>
      <c r="X59" s="313">
        <f>'ARP Quarterly'!N14</f>
        <v>0</v>
      </c>
      <c r="Y59" s="313">
        <f>'ARP Quarterly'!O14</f>
        <v>0</v>
      </c>
      <c r="Z59" s="313">
        <f>'ARP Quarterly'!P14</f>
        <v>0</v>
      </c>
      <c r="AA59" s="313">
        <f>'ARP Quarterly'!Q14</f>
        <v>0</v>
      </c>
      <c r="AB59" s="313">
        <f>'ARP Quarterly'!R14</f>
        <v>0</v>
      </c>
      <c r="AC59" s="313">
        <f>'ARP Quarterly'!S14</f>
        <v>0</v>
      </c>
      <c r="AD59" s="313">
        <f>'ARP Quarterly'!T14</f>
        <v>0</v>
      </c>
      <c r="AE59" s="313"/>
      <c r="AF59" s="313"/>
      <c r="AG59" s="313"/>
      <c r="AH59" s="343">
        <f t="shared" si="19"/>
        <v>1.6999999999999997</v>
      </c>
      <c r="AI59" s="306"/>
    </row>
    <row r="60" spans="1:92" x14ac:dyDescent="0.25">
      <c r="B60" s="365" t="s">
        <v>364</v>
      </c>
      <c r="C60" s="49"/>
      <c r="D60" s="346"/>
      <c r="E60" s="49"/>
      <c r="F60" s="49"/>
      <c r="G60" s="49"/>
      <c r="H60" s="50"/>
      <c r="I60" s="50"/>
      <c r="J60" s="50"/>
      <c r="K60" s="50"/>
      <c r="L60" s="50"/>
      <c r="M60" s="306"/>
      <c r="N60" s="306">
        <f>'ARP Quarterly'!D10</f>
        <v>59.256</v>
      </c>
      <c r="O60" s="306">
        <f>'ARP Quarterly'!E10</f>
        <v>59.256</v>
      </c>
      <c r="P60" s="208">
        <f>'ARP Quarterly'!F10</f>
        <v>35.671000000000006</v>
      </c>
      <c r="Q60" s="306">
        <f>'ARP Quarterly'!G10</f>
        <v>35.671000000000006</v>
      </c>
      <c r="R60" s="306">
        <f>'ARP Quarterly'!H10</f>
        <v>35.671000000000006</v>
      </c>
      <c r="S60" s="306">
        <f>'ARP Quarterly'!I10</f>
        <v>35.671000000000006</v>
      </c>
      <c r="T60" s="313">
        <f>'ARP Quarterly'!J10</f>
        <v>24.216000000000001</v>
      </c>
      <c r="U60" s="313">
        <f>'ARP Quarterly'!K10</f>
        <v>24.216000000000001</v>
      </c>
      <c r="V60" s="313">
        <f>'ARP Quarterly'!L10</f>
        <v>24.216000000000001</v>
      </c>
      <c r="W60" s="313">
        <f>'ARP Quarterly'!M10</f>
        <v>24.216000000000001</v>
      </c>
      <c r="X60" s="313">
        <f>'ARP Quarterly'!N10</f>
        <v>9.6430000000000007</v>
      </c>
      <c r="Y60" s="313">
        <f>'ARP Quarterly'!O10</f>
        <v>9.6430000000000007</v>
      </c>
      <c r="Z60" s="313">
        <f>'ARP Quarterly'!P10</f>
        <v>9.6430000000000007</v>
      </c>
      <c r="AA60" s="313">
        <f>'ARP Quarterly'!Q10</f>
        <v>9.6430000000000007</v>
      </c>
      <c r="AB60" s="313">
        <f>'ARP Quarterly'!R10</f>
        <v>4.5789999999999997</v>
      </c>
      <c r="AC60" s="313">
        <f>'ARP Quarterly'!S10</f>
        <v>4.5789999999999997</v>
      </c>
      <c r="AD60" s="313">
        <f>'ARP Quarterly'!T10</f>
        <v>4.5789999999999997</v>
      </c>
      <c r="AE60" s="313"/>
      <c r="AF60" s="313"/>
      <c r="AG60" s="313"/>
      <c r="AH60" s="343">
        <f t="shared" si="19"/>
        <v>94.336500000000001</v>
      </c>
      <c r="AI60" s="306"/>
    </row>
    <row r="61" spans="1:92" x14ac:dyDescent="0.25">
      <c r="A61" s="4"/>
      <c r="B61" s="380"/>
      <c r="C61" s="377"/>
      <c r="D61" s="375"/>
      <c r="E61" s="377"/>
      <c r="F61" s="377"/>
      <c r="G61" s="377"/>
      <c r="H61" s="382"/>
      <c r="I61" s="382"/>
      <c r="J61" s="382"/>
      <c r="K61" s="382"/>
      <c r="L61" s="382"/>
      <c r="M61" s="307"/>
      <c r="N61" s="307"/>
      <c r="O61" s="307"/>
      <c r="P61" s="300"/>
      <c r="Q61" s="307"/>
      <c r="R61" s="307"/>
      <c r="S61" s="307"/>
      <c r="T61" s="386"/>
      <c r="U61" s="386"/>
      <c r="V61" s="386"/>
      <c r="W61" s="386"/>
      <c r="X61" s="386"/>
      <c r="Y61" s="386"/>
      <c r="Z61" s="386"/>
      <c r="AA61" s="386"/>
      <c r="AB61" s="386"/>
      <c r="AC61" s="386"/>
      <c r="AD61" s="313"/>
      <c r="AE61" s="313"/>
      <c r="AF61" s="313"/>
      <c r="AG61" s="313"/>
      <c r="AH61" s="398"/>
      <c r="AI61" s="306"/>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row>
    <row r="62" spans="1:92" x14ac:dyDescent="0.25">
      <c r="B62" s="329"/>
      <c r="C62" s="49"/>
      <c r="D62" s="49"/>
      <c r="E62" s="49"/>
      <c r="F62" s="49"/>
      <c r="G62" s="49"/>
      <c r="H62" s="49"/>
      <c r="I62" s="49"/>
      <c r="J62" s="49"/>
      <c r="K62" s="49"/>
      <c r="L62" s="49"/>
      <c r="M62" s="49"/>
      <c r="N62" s="49"/>
      <c r="O62" s="49"/>
      <c r="P62" s="367"/>
      <c r="Q62" s="49"/>
      <c r="R62" s="49"/>
      <c r="S62" s="49"/>
      <c r="T62" s="49"/>
      <c r="U62" s="49"/>
      <c r="V62" s="49"/>
      <c r="W62" s="49"/>
      <c r="X62" s="49"/>
      <c r="Y62" s="49"/>
      <c r="Z62" s="49"/>
      <c r="AA62" s="49"/>
      <c r="AB62" s="49"/>
      <c r="AC62" s="49"/>
      <c r="AD62" s="49"/>
      <c r="AE62" s="49"/>
      <c r="AF62" s="49"/>
      <c r="AG62" s="49"/>
      <c r="AH62" s="49"/>
      <c r="AI62" s="49"/>
    </row>
    <row r="63" spans="1:92" x14ac:dyDescent="0.25">
      <c r="B63" s="329"/>
      <c r="C63" s="49"/>
      <c r="D63" s="49"/>
      <c r="E63" s="49"/>
      <c r="F63" s="49"/>
      <c r="G63" s="49"/>
      <c r="H63" s="49"/>
      <c r="I63" s="49"/>
      <c r="J63" s="49"/>
      <c r="K63" s="49"/>
      <c r="L63" s="49"/>
      <c r="M63" s="49"/>
      <c r="N63" s="49"/>
      <c r="O63" s="49"/>
      <c r="P63" s="367"/>
      <c r="Q63" s="49"/>
      <c r="R63" s="49"/>
      <c r="S63" s="49"/>
      <c r="T63" s="49"/>
      <c r="U63" s="49"/>
      <c r="V63" s="49"/>
      <c r="W63" s="49"/>
      <c r="X63" s="49"/>
      <c r="Y63" s="49"/>
      <c r="Z63" s="49"/>
      <c r="AA63" s="49"/>
      <c r="AB63" s="49"/>
      <c r="AC63" s="49"/>
      <c r="AD63" s="49"/>
      <c r="AE63" s="49"/>
      <c r="AF63" s="49"/>
      <c r="AG63" s="49"/>
      <c r="AH63" s="49"/>
      <c r="AI63" s="49"/>
    </row>
    <row r="64" spans="1:92" ht="17.850000000000001" customHeight="1" x14ac:dyDescent="0.25">
      <c r="B64" s="387" t="s">
        <v>365</v>
      </c>
      <c r="H64" s="50"/>
      <c r="I64" s="50"/>
      <c r="J64" s="50"/>
      <c r="K64" s="50"/>
      <c r="L64" s="50"/>
      <c r="M64" s="50"/>
      <c r="N64" s="50"/>
      <c r="O64" s="50"/>
      <c r="P64" s="212"/>
      <c r="Q64" s="50"/>
      <c r="R64" s="50"/>
      <c r="S64" s="50"/>
      <c r="T64" s="50"/>
      <c r="U64" s="50"/>
      <c r="V64" s="50"/>
      <c r="W64" s="50"/>
      <c r="X64" s="50"/>
      <c r="Y64" s="50"/>
      <c r="Z64" s="50"/>
      <c r="AA64" s="50"/>
      <c r="AB64" s="50"/>
      <c r="AC64" s="50"/>
      <c r="AD64" s="50"/>
      <c r="AE64" s="50"/>
      <c r="AF64" s="50"/>
      <c r="AG64" s="50"/>
      <c r="AH64" s="50"/>
      <c r="AI64" s="50"/>
    </row>
    <row r="65" spans="2:38" ht="29.85" customHeight="1" x14ac:dyDescent="0.25">
      <c r="B65" s="408" t="s">
        <v>366</v>
      </c>
      <c r="C65" s="409" t="s">
        <v>367</v>
      </c>
      <c r="D65" s="410" t="s">
        <v>368</v>
      </c>
      <c r="E65" s="393" t="s">
        <v>369</v>
      </c>
      <c r="F65" s="50"/>
      <c r="G65" s="50"/>
      <c r="H65" s="50"/>
      <c r="I65" s="50"/>
      <c r="J65" s="50"/>
      <c r="K65" s="50"/>
      <c r="L65" s="50"/>
      <c r="M65" s="50"/>
      <c r="N65" s="50"/>
      <c r="O65" s="50"/>
      <c r="P65" s="212"/>
      <c r="Q65" s="50"/>
      <c r="R65" s="50"/>
      <c r="S65" s="50"/>
      <c r="T65" s="50"/>
      <c r="U65" s="50"/>
      <c r="V65" s="50"/>
      <c r="W65" s="50"/>
    </row>
    <row r="66" spans="2:38" ht="18.75" customHeight="1" x14ac:dyDescent="0.25">
      <c r="B66" s="414" t="s">
        <v>370</v>
      </c>
      <c r="C66" s="383">
        <f>SUM(C67:C72)</f>
        <v>898.11599999999999</v>
      </c>
      <c r="D66" s="50">
        <f>SUM(D67:D71)</f>
        <v>202.36666666666667</v>
      </c>
      <c r="E66" s="351">
        <f>SUM(E67:E71)</f>
        <v>650.35233333333326</v>
      </c>
      <c r="F66" s="50"/>
      <c r="G66" s="50"/>
      <c r="H66" s="50"/>
      <c r="I66" s="50"/>
      <c r="J66" s="50"/>
      <c r="K66" s="50"/>
      <c r="L66" s="50"/>
      <c r="M66" s="50"/>
      <c r="N66" s="50"/>
      <c r="O66" s="50"/>
      <c r="P66" s="212"/>
      <c r="Q66" s="50"/>
      <c r="R66" s="50"/>
      <c r="S66" s="50"/>
      <c r="T66" s="50"/>
      <c r="U66" s="50"/>
      <c r="V66" s="50"/>
      <c r="W66" s="50"/>
    </row>
    <row r="67" spans="2:38" x14ac:dyDescent="0.25">
      <c r="B67" s="413" t="s">
        <v>149</v>
      </c>
      <c r="C67" s="383">
        <f>C76</f>
        <v>150</v>
      </c>
      <c r="D67" s="50">
        <f>SUM(H12:M12)/4</f>
        <v>149.47499999999999</v>
      </c>
      <c r="E67" s="343">
        <f>C67-D67</f>
        <v>0.52500000000000568</v>
      </c>
      <c r="F67" s="50"/>
      <c r="G67" s="50"/>
      <c r="H67" s="50"/>
      <c r="I67" s="373"/>
      <c r="J67" s="373"/>
      <c r="K67" s="373"/>
      <c r="L67" s="373"/>
      <c r="M67" s="373"/>
      <c r="N67" s="373"/>
      <c r="O67" s="373"/>
      <c r="P67" s="423"/>
      <c r="Q67" s="50"/>
      <c r="R67" s="50"/>
      <c r="S67" s="50"/>
      <c r="T67" s="50"/>
      <c r="U67" s="50"/>
      <c r="V67" s="50"/>
      <c r="W67" s="50"/>
    </row>
    <row r="68" spans="2:38" x14ac:dyDescent="0.25">
      <c r="B68" s="413" t="s">
        <v>150</v>
      </c>
      <c r="C68" s="416">
        <f>C77+C81+C87</f>
        <v>273.16899999999998</v>
      </c>
      <c r="D68" s="50">
        <f>SUM(H13:M13)/4</f>
        <v>22.075000000000003</v>
      </c>
      <c r="E68" s="343">
        <f>C68-D68</f>
        <v>251.09399999999999</v>
      </c>
      <c r="F68" s="50"/>
      <c r="G68" s="50"/>
      <c r="H68" s="50"/>
      <c r="I68" s="373"/>
      <c r="J68" s="373"/>
      <c r="K68" s="373"/>
      <c r="L68" s="373"/>
      <c r="M68" s="373"/>
      <c r="N68" s="373"/>
      <c r="O68" s="373"/>
      <c r="P68" s="423"/>
      <c r="Q68" s="50"/>
      <c r="R68" s="50"/>
      <c r="S68" s="50"/>
      <c r="T68" s="50"/>
      <c r="U68" s="50"/>
      <c r="V68" s="50"/>
      <c r="W68" s="50"/>
    </row>
    <row r="69" spans="2:38" x14ac:dyDescent="0.25">
      <c r="B69" s="413" t="s">
        <v>152</v>
      </c>
      <c r="C69" s="256">
        <f>C78+C88+C82</f>
        <v>38.5</v>
      </c>
      <c r="D69" s="50">
        <f>SUM(H14:M14)/4</f>
        <v>28.400000000000002</v>
      </c>
      <c r="E69" s="343">
        <f>C69-D69</f>
        <v>10.099999999999998</v>
      </c>
      <c r="F69" s="50"/>
      <c r="G69" s="50"/>
      <c r="H69" s="50"/>
      <c r="I69" s="373"/>
      <c r="J69" s="373"/>
      <c r="K69" s="373"/>
      <c r="L69" s="373"/>
      <c r="M69" s="373"/>
      <c r="N69" s="373"/>
      <c r="O69" s="373"/>
      <c r="P69" s="423"/>
      <c r="Q69" s="1401"/>
      <c r="R69" s="1401"/>
      <c r="S69" s="1401"/>
      <c r="T69" s="1401"/>
      <c r="U69" s="1401"/>
      <c r="V69" s="1401"/>
      <c r="W69" s="1401"/>
      <c r="X69" s="1401"/>
      <c r="Y69" s="1401"/>
      <c r="Z69" s="1401"/>
      <c r="AA69" s="1401"/>
      <c r="AB69" s="1401"/>
      <c r="AC69" s="1401"/>
      <c r="AD69" s="1401"/>
      <c r="AE69" s="1401"/>
      <c r="AF69" s="1401"/>
      <c r="AG69" s="1401"/>
      <c r="AH69" s="1401"/>
      <c r="AI69" s="1401"/>
      <c r="AJ69" s="1401"/>
      <c r="AK69" s="1401"/>
      <c r="AL69" s="1401"/>
    </row>
    <row r="70" spans="2:38" ht="17.25" customHeight="1" x14ac:dyDescent="0.25">
      <c r="B70" s="413" t="s">
        <v>371</v>
      </c>
      <c r="C70" s="256">
        <f>C80</f>
        <v>29</v>
      </c>
      <c r="D70" s="50">
        <f>SUM(H15:M15)/4</f>
        <v>2.4166666666666665</v>
      </c>
      <c r="E70" s="343">
        <f>C70-D70</f>
        <v>26.583333333333332</v>
      </c>
      <c r="F70" s="50"/>
      <c r="G70" s="50"/>
      <c r="H70" s="50"/>
      <c r="I70" s="373"/>
      <c r="J70" s="373"/>
      <c r="K70" s="373"/>
      <c r="L70" s="373"/>
      <c r="M70" s="373"/>
      <c r="N70" s="373"/>
      <c r="O70" s="373"/>
      <c r="P70" s="423"/>
      <c r="Q70" s="1402"/>
      <c r="R70" s="1402"/>
      <c r="S70" s="1402"/>
      <c r="T70" s="1402"/>
      <c r="U70" s="1402"/>
      <c r="V70" s="1402"/>
      <c r="W70" s="1402"/>
      <c r="X70" s="1402"/>
      <c r="Y70" s="1402"/>
      <c r="Z70" s="216"/>
      <c r="AA70" s="216"/>
      <c r="AB70" s="216"/>
      <c r="AC70" s="216"/>
      <c r="AD70" s="216"/>
      <c r="AE70" s="216"/>
      <c r="AF70" s="216"/>
      <c r="AG70" s="216"/>
      <c r="AH70" s="1402"/>
      <c r="AI70" s="1402"/>
      <c r="AJ70" s="1402"/>
      <c r="AK70" s="1402"/>
      <c r="AL70" s="216"/>
    </row>
    <row r="71" spans="2:38" ht="15.75" customHeight="1" x14ac:dyDescent="0.25">
      <c r="B71" s="413" t="s">
        <v>348</v>
      </c>
      <c r="C71" s="256">
        <f>C86</f>
        <v>362.04999999999995</v>
      </c>
      <c r="D71" s="50">
        <v>0</v>
      </c>
      <c r="E71" s="343">
        <f>C71-D71</f>
        <v>362.04999999999995</v>
      </c>
      <c r="F71" s="50"/>
      <c r="G71" s="50"/>
      <c r="H71" s="50"/>
      <c r="I71" s="373"/>
      <c r="J71" s="373"/>
      <c r="K71" s="373"/>
      <c r="L71" s="373"/>
      <c r="M71" s="373"/>
      <c r="N71" s="373"/>
      <c r="O71" s="373"/>
      <c r="P71" s="423"/>
      <c r="Q71" s="216"/>
      <c r="R71" s="216"/>
      <c r="S71" s="216"/>
      <c r="T71" s="216"/>
      <c r="U71" s="216"/>
      <c r="V71" s="216"/>
      <c r="W71" s="216"/>
      <c r="X71" s="216"/>
      <c r="Y71" s="216"/>
      <c r="Z71" s="216"/>
      <c r="AA71" s="216"/>
      <c r="AB71" s="216"/>
      <c r="AC71" s="216"/>
      <c r="AD71" s="216"/>
      <c r="AE71" s="216"/>
      <c r="AF71" s="216"/>
      <c r="AG71" s="216"/>
      <c r="AH71" s="216"/>
      <c r="AI71" s="216"/>
      <c r="AJ71" s="216"/>
      <c r="AK71" s="216"/>
      <c r="AL71" s="216"/>
    </row>
    <row r="72" spans="2:38" ht="15" customHeight="1" x14ac:dyDescent="0.25">
      <c r="B72" s="412" t="s">
        <v>372</v>
      </c>
      <c r="C72" s="383">
        <f>C89+C90+C83+C84</f>
        <v>45.396999999999998</v>
      </c>
      <c r="D72" s="50"/>
      <c r="E72" s="343"/>
      <c r="F72" s="50"/>
      <c r="G72" s="50"/>
      <c r="H72" s="50"/>
      <c r="I72" s="373"/>
      <c r="J72" s="373"/>
      <c r="K72" s="373"/>
      <c r="L72" s="373"/>
      <c r="M72" s="373"/>
      <c r="N72" s="373"/>
      <c r="O72" s="373"/>
      <c r="P72" s="423"/>
      <c r="Q72" s="50"/>
      <c r="R72" s="50"/>
      <c r="S72" s="50"/>
      <c r="T72" s="50"/>
      <c r="U72" s="50"/>
      <c r="V72" s="50"/>
      <c r="W72" s="50"/>
    </row>
    <row r="73" spans="2:38" ht="5.25" customHeight="1" x14ac:dyDescent="0.25">
      <c r="B73" s="412"/>
      <c r="C73" s="383"/>
      <c r="D73" s="50"/>
      <c r="E73" s="343"/>
      <c r="F73" s="50"/>
      <c r="G73" s="50"/>
      <c r="H73" s="50"/>
      <c r="I73" s="373"/>
      <c r="J73" s="373"/>
      <c r="K73" s="373"/>
      <c r="L73" s="373"/>
      <c r="M73" s="373"/>
      <c r="N73" s="373"/>
      <c r="O73" s="373"/>
      <c r="P73" s="423"/>
      <c r="Q73" s="50"/>
      <c r="R73" s="50"/>
      <c r="S73" s="50"/>
      <c r="T73" s="50"/>
      <c r="U73" s="50"/>
      <c r="V73" s="50"/>
      <c r="W73" s="50"/>
    </row>
    <row r="74" spans="2:38" ht="18.75" customHeight="1" x14ac:dyDescent="0.25">
      <c r="B74" s="414" t="s">
        <v>373</v>
      </c>
      <c r="C74" s="256">
        <f>C75+C79+C85</f>
        <v>898.11599999999999</v>
      </c>
      <c r="D74" s="50"/>
      <c r="E74" s="343"/>
      <c r="F74" s="50"/>
      <c r="G74" s="50"/>
      <c r="H74" s="50"/>
      <c r="I74" s="373"/>
      <c r="J74" s="373"/>
      <c r="K74" s="373"/>
      <c r="L74" s="373"/>
      <c r="M74" s="373"/>
      <c r="N74" s="373"/>
      <c r="O74" s="373"/>
      <c r="P74" s="423"/>
      <c r="Q74" s="50"/>
      <c r="R74" s="50"/>
      <c r="S74" s="50"/>
      <c r="T74" s="50"/>
      <c r="U74" s="50"/>
      <c r="V74" s="50"/>
      <c r="W74" s="50"/>
    </row>
    <row r="75" spans="2:38" ht="16.350000000000001" customHeight="1" x14ac:dyDescent="0.25">
      <c r="B75" s="404" t="s">
        <v>354</v>
      </c>
      <c r="C75" s="256">
        <f>SUM(C76:C78)</f>
        <v>199</v>
      </c>
      <c r="D75" s="50"/>
      <c r="E75" s="343"/>
      <c r="F75" s="50"/>
      <c r="G75" s="50"/>
      <c r="H75" s="50"/>
      <c r="I75" s="373"/>
      <c r="J75" s="373"/>
      <c r="K75" s="373"/>
      <c r="L75" s="373"/>
      <c r="M75" s="373"/>
      <c r="N75" s="373"/>
      <c r="O75" s="373"/>
      <c r="P75" s="423"/>
      <c r="Q75" s="50"/>
      <c r="R75" s="50"/>
      <c r="S75" s="50"/>
      <c r="T75" s="50"/>
      <c r="U75" s="50"/>
      <c r="V75" s="50"/>
      <c r="W75" s="50"/>
    </row>
    <row r="76" spans="2:38" ht="20.85" customHeight="1" x14ac:dyDescent="0.25">
      <c r="B76" s="365" t="s">
        <v>149</v>
      </c>
      <c r="C76" s="256">
        <v>150</v>
      </c>
      <c r="D76" s="50"/>
      <c r="E76" s="343"/>
      <c r="F76" s="50"/>
      <c r="G76" s="50"/>
      <c r="H76" s="50"/>
      <c r="I76" s="373"/>
      <c r="J76" s="373"/>
      <c r="K76" s="373"/>
      <c r="L76" s="373"/>
      <c r="M76" s="373"/>
      <c r="N76" s="373"/>
      <c r="O76" s="373"/>
      <c r="P76" s="423"/>
      <c r="Q76" s="50"/>
      <c r="R76" s="50"/>
      <c r="S76" s="50"/>
      <c r="T76" s="50"/>
      <c r="U76" s="50"/>
      <c r="V76" s="50"/>
      <c r="W76" s="50"/>
    </row>
    <row r="77" spans="2:38" ht="16.5" customHeight="1" x14ac:dyDescent="0.25">
      <c r="B77" s="365" t="s">
        <v>150</v>
      </c>
      <c r="C77" s="416">
        <v>22</v>
      </c>
      <c r="D77" s="211"/>
      <c r="E77" s="343"/>
      <c r="F77" s="50"/>
      <c r="G77" s="50"/>
      <c r="H77" s="50"/>
      <c r="I77" s="373"/>
      <c r="J77" s="373"/>
      <c r="K77" s="373"/>
      <c r="L77" s="373"/>
      <c r="M77" s="373"/>
      <c r="N77" s="373"/>
      <c r="O77" s="373"/>
      <c r="P77" s="423"/>
      <c r="Q77" s="50"/>
      <c r="R77" s="50"/>
      <c r="S77" s="50"/>
      <c r="T77" s="50"/>
      <c r="U77" s="50"/>
      <c r="V77" s="50"/>
      <c r="W77" s="50"/>
    </row>
    <row r="78" spans="2:38" x14ac:dyDescent="0.25">
      <c r="B78" s="365" t="s">
        <v>152</v>
      </c>
      <c r="C78" s="256">
        <v>27</v>
      </c>
      <c r="D78" s="50"/>
      <c r="E78" s="343"/>
      <c r="F78" s="49"/>
      <c r="G78" s="50"/>
      <c r="H78" s="50"/>
      <c r="I78" s="373"/>
      <c r="J78" s="373"/>
      <c r="K78" s="373"/>
      <c r="L78" s="373"/>
      <c r="M78" s="373"/>
      <c r="N78" s="373"/>
      <c r="P78" s="423"/>
      <c r="Q78" s="50"/>
      <c r="R78" s="50"/>
      <c r="S78" s="50"/>
      <c r="T78" s="50"/>
      <c r="U78" s="50"/>
      <c r="V78" s="50"/>
      <c r="W78" s="50"/>
    </row>
    <row r="79" spans="2:38" ht="15" customHeight="1" x14ac:dyDescent="0.25">
      <c r="B79" s="404" t="s">
        <v>356</v>
      </c>
      <c r="C79" s="256">
        <f>SUM(C80:C84)</f>
        <v>150</v>
      </c>
      <c r="D79" s="50"/>
      <c r="E79" s="343"/>
      <c r="F79" s="50"/>
      <c r="G79" s="50"/>
      <c r="H79" s="50"/>
      <c r="I79" s="50"/>
      <c r="J79" s="50"/>
      <c r="K79" s="50"/>
      <c r="L79" s="50"/>
      <c r="M79" s="50"/>
      <c r="N79" s="50"/>
      <c r="P79" s="212"/>
      <c r="Q79" s="50"/>
      <c r="R79" s="50"/>
      <c r="S79" s="50"/>
      <c r="T79" s="50"/>
      <c r="U79" s="50"/>
      <c r="V79" s="50"/>
      <c r="W79" s="50"/>
    </row>
    <row r="80" spans="2:38" ht="17.25" customHeight="1" x14ac:dyDescent="0.25">
      <c r="B80" s="365" t="s">
        <v>343</v>
      </c>
      <c r="C80" s="256">
        <f>'Response and Relief Act Score'!F7</f>
        <v>29</v>
      </c>
      <c r="D80" s="50"/>
      <c r="E80" s="343"/>
      <c r="F80" s="50"/>
      <c r="G80" s="50"/>
      <c r="H80" s="50"/>
      <c r="I80" s="50"/>
    </row>
    <row r="81" spans="1:35" x14ac:dyDescent="0.25">
      <c r="B81" s="365" t="s">
        <v>150</v>
      </c>
      <c r="C81" s="256">
        <f>'Response and Relief Act Score'!F5</f>
        <v>82</v>
      </c>
      <c r="D81" s="50"/>
      <c r="E81" s="343"/>
      <c r="F81" s="50"/>
      <c r="G81" s="50"/>
      <c r="H81" s="50"/>
      <c r="I81" s="50"/>
      <c r="J81" s="50"/>
      <c r="K81" s="50"/>
      <c r="L81" s="50"/>
      <c r="M81" s="50"/>
      <c r="N81" s="50"/>
      <c r="P81" s="212"/>
      <c r="Q81" s="50"/>
      <c r="R81" s="50"/>
      <c r="S81" s="50"/>
      <c r="T81" s="50"/>
      <c r="U81" s="50"/>
      <c r="V81" s="50"/>
      <c r="W81" s="50"/>
    </row>
    <row r="82" spans="1:35" x14ac:dyDescent="0.25">
      <c r="B82" s="365" t="s">
        <v>152</v>
      </c>
      <c r="C82" s="256">
        <f>'Response and Relief Act Score'!F6</f>
        <v>3</v>
      </c>
      <c r="D82" s="50"/>
      <c r="E82" s="343"/>
      <c r="F82" s="50"/>
      <c r="G82" s="50"/>
      <c r="H82" s="50"/>
      <c r="I82" s="50"/>
      <c r="J82" s="50"/>
      <c r="K82" s="50"/>
      <c r="L82" s="50"/>
      <c r="M82" s="50"/>
      <c r="N82" s="50"/>
      <c r="P82" s="212"/>
      <c r="Q82" s="50"/>
      <c r="R82" s="50"/>
      <c r="S82" s="50"/>
      <c r="T82" s="50"/>
      <c r="U82" s="50"/>
      <c r="V82" s="50"/>
      <c r="W82" s="50"/>
    </row>
    <row r="83" spans="1:35" ht="29.25" customHeight="1" x14ac:dyDescent="0.25">
      <c r="B83" s="365" t="s">
        <v>359</v>
      </c>
      <c r="C83" s="256">
        <f>'Response and Relief Act Score'!F9</f>
        <v>34</v>
      </c>
      <c r="D83" s="50"/>
      <c r="E83" s="343"/>
      <c r="F83" s="50"/>
      <c r="G83" s="50"/>
      <c r="H83" s="50"/>
      <c r="I83" s="388"/>
      <c r="J83" s="50"/>
      <c r="K83" s="50"/>
      <c r="L83" s="50"/>
      <c r="M83" s="50"/>
      <c r="N83" s="50"/>
      <c r="O83" s="373"/>
      <c r="P83" s="212"/>
      <c r="Q83" s="50"/>
      <c r="R83" s="50"/>
      <c r="S83" s="50"/>
      <c r="T83" s="50"/>
      <c r="U83" s="50"/>
      <c r="V83" s="50"/>
      <c r="W83" s="50"/>
    </row>
    <row r="84" spans="1:35" ht="12.75" customHeight="1" x14ac:dyDescent="0.25">
      <c r="B84" s="365" t="s">
        <v>360</v>
      </c>
      <c r="C84" s="256">
        <f>'Response and Relief Act Score'!F8</f>
        <v>2</v>
      </c>
      <c r="D84" s="50"/>
      <c r="E84" s="343"/>
      <c r="F84" s="50"/>
      <c r="G84" s="50"/>
      <c r="H84" s="50"/>
      <c r="I84" s="50"/>
      <c r="J84" s="50"/>
      <c r="K84" s="50"/>
      <c r="L84" s="50"/>
      <c r="M84" s="50"/>
      <c r="N84" s="50"/>
      <c r="O84" s="50"/>
      <c r="P84" s="212"/>
      <c r="Q84" s="50"/>
      <c r="R84" s="50"/>
      <c r="S84" s="50"/>
      <c r="T84" s="50"/>
      <c r="U84" s="50"/>
      <c r="V84" s="50"/>
      <c r="W84" s="50"/>
    </row>
    <row r="85" spans="1:35" x14ac:dyDescent="0.25">
      <c r="A85" s="379"/>
      <c r="B85" s="376" t="s">
        <v>361</v>
      </c>
      <c r="C85" s="383">
        <f>SUM(C86:C90)</f>
        <v>549.11599999999999</v>
      </c>
      <c r="D85" s="50"/>
      <c r="E85" s="343"/>
      <c r="F85" s="50"/>
      <c r="G85" s="50"/>
      <c r="H85" s="50"/>
      <c r="I85" s="50"/>
      <c r="J85" s="50"/>
      <c r="K85" s="50"/>
      <c r="L85" s="50"/>
      <c r="M85" s="50"/>
      <c r="N85" s="50"/>
      <c r="P85" s="212"/>
      <c r="Q85" s="50"/>
      <c r="R85" s="50"/>
      <c r="S85" s="50"/>
      <c r="T85" s="50"/>
      <c r="U85" s="50"/>
      <c r="V85" s="50"/>
      <c r="W85" s="50"/>
    </row>
    <row r="86" spans="1:35" ht="16.350000000000001" customHeight="1" x14ac:dyDescent="0.25">
      <c r="A86" s="379"/>
      <c r="B86" s="378" t="s">
        <v>348</v>
      </c>
      <c r="C86" s="383">
        <f>'ARP Score'!AJ16</f>
        <v>362.04999999999995</v>
      </c>
      <c r="D86" s="50"/>
      <c r="E86" s="343"/>
      <c r="F86" s="50"/>
      <c r="G86" s="50"/>
      <c r="H86" s="50"/>
      <c r="I86" s="50"/>
      <c r="J86" s="50"/>
      <c r="K86" s="50"/>
      <c r="L86" s="50"/>
      <c r="M86" s="50"/>
      <c r="N86" s="50"/>
      <c r="O86" s="50"/>
      <c r="P86" s="212"/>
      <c r="Q86" s="50"/>
      <c r="R86" s="50"/>
      <c r="S86" s="50"/>
      <c r="T86" s="50"/>
      <c r="U86" s="50"/>
      <c r="V86" s="50"/>
      <c r="W86" s="50"/>
    </row>
    <row r="87" spans="1:35" ht="15" customHeight="1" x14ac:dyDescent="0.25">
      <c r="A87" s="1394"/>
      <c r="B87" s="378" t="s">
        <v>150</v>
      </c>
      <c r="C87" s="383">
        <f>'ARP Score'!AL16</f>
        <v>169.16899999999998</v>
      </c>
      <c r="D87" s="50"/>
      <c r="E87" s="343"/>
      <c r="F87" s="50"/>
      <c r="G87" s="50"/>
      <c r="H87" s="50"/>
      <c r="I87" s="50"/>
      <c r="J87" s="50"/>
      <c r="K87" s="50"/>
      <c r="L87" s="50"/>
      <c r="M87" s="50"/>
      <c r="N87" s="50"/>
      <c r="O87" s="50"/>
      <c r="P87" s="212"/>
      <c r="Q87" s="381"/>
      <c r="R87" s="50"/>
      <c r="S87" s="50"/>
      <c r="T87" s="50"/>
      <c r="U87" s="50"/>
      <c r="V87" s="50"/>
      <c r="W87" s="50"/>
    </row>
    <row r="88" spans="1:35" x14ac:dyDescent="0.25">
      <c r="A88" s="1394"/>
      <c r="B88" s="378" t="s">
        <v>152</v>
      </c>
      <c r="C88" s="383">
        <f>'ARP Score'!AK16</f>
        <v>8.5</v>
      </c>
      <c r="D88" s="50"/>
      <c r="E88" s="343"/>
      <c r="F88" s="50"/>
      <c r="G88" s="50"/>
      <c r="H88" s="50"/>
      <c r="I88" s="50"/>
      <c r="J88" s="50"/>
      <c r="K88" s="50"/>
      <c r="L88" s="50"/>
      <c r="M88" s="50"/>
      <c r="N88" s="50"/>
      <c r="O88" s="50"/>
      <c r="P88" s="212"/>
      <c r="Q88" s="50"/>
      <c r="R88" s="50"/>
      <c r="S88" s="50"/>
      <c r="T88" s="50"/>
      <c r="U88" s="50"/>
      <c r="V88" s="50"/>
      <c r="W88" s="50"/>
    </row>
    <row r="89" spans="1:35" ht="17.25" customHeight="1" x14ac:dyDescent="0.25">
      <c r="A89" s="379"/>
      <c r="B89" s="378" t="s">
        <v>364</v>
      </c>
      <c r="C89" s="383">
        <f>'ARP Score'!AM16</f>
        <v>0.79700000000000004</v>
      </c>
      <c r="D89" s="50"/>
      <c r="E89" s="343"/>
      <c r="F89" s="50"/>
      <c r="G89" s="50"/>
      <c r="H89" s="50"/>
      <c r="I89" s="50"/>
      <c r="J89" s="50"/>
      <c r="K89" s="50"/>
      <c r="L89" s="50"/>
      <c r="M89" s="50"/>
      <c r="N89" s="50"/>
      <c r="O89" s="50"/>
      <c r="P89" s="212"/>
      <c r="Q89" s="50"/>
      <c r="R89" s="50"/>
      <c r="S89" s="50"/>
      <c r="T89" s="50"/>
      <c r="U89" s="50"/>
      <c r="V89" s="50"/>
      <c r="W89" s="50"/>
    </row>
    <row r="90" spans="1:35" ht="17.25" customHeight="1" x14ac:dyDescent="0.25">
      <c r="A90" s="379"/>
      <c r="B90" s="380" t="s">
        <v>374</v>
      </c>
      <c r="C90" s="384">
        <f>'ARP Score'!AN16</f>
        <v>8.6</v>
      </c>
      <c r="D90" s="382"/>
      <c r="E90" s="369"/>
      <c r="F90" s="50"/>
      <c r="G90" s="50"/>
      <c r="H90" s="50"/>
      <c r="I90" s="50"/>
      <c r="J90" s="50"/>
      <c r="K90" s="50"/>
      <c r="L90" s="50"/>
      <c r="M90" s="50"/>
      <c r="N90" s="50"/>
      <c r="O90" s="50"/>
      <c r="P90" s="212"/>
      <c r="Q90" s="50"/>
      <c r="R90" s="50"/>
      <c r="S90" s="50"/>
      <c r="T90" s="50"/>
      <c r="U90" s="50"/>
      <c r="V90" s="50"/>
      <c r="W90" s="50"/>
    </row>
    <row r="91" spans="1:35" ht="17.25" customHeight="1" x14ac:dyDescent="0.25">
      <c r="B91" s="378"/>
      <c r="C91" s="69"/>
      <c r="D91" s="69"/>
      <c r="E91" s="69"/>
      <c r="F91" s="69"/>
      <c r="G91" s="69"/>
      <c r="H91" s="50"/>
      <c r="I91" s="50"/>
      <c r="J91" s="50"/>
      <c r="K91" s="50"/>
      <c r="L91" s="50"/>
      <c r="M91" s="50"/>
      <c r="N91" s="50"/>
      <c r="O91" s="50"/>
      <c r="P91" s="212"/>
      <c r="Q91" s="50"/>
      <c r="R91" s="50"/>
      <c r="S91" s="50"/>
      <c r="T91" s="50"/>
      <c r="U91" s="50"/>
      <c r="V91" s="50"/>
      <c r="W91" s="50"/>
      <c r="X91" s="50"/>
      <c r="Y91" s="50"/>
      <c r="Z91" s="50"/>
      <c r="AA91" s="50"/>
      <c r="AB91" s="50"/>
      <c r="AC91" s="50"/>
      <c r="AD91" s="50"/>
      <c r="AE91" s="50"/>
      <c r="AF91" s="50"/>
      <c r="AG91" s="50"/>
      <c r="AH91" s="50"/>
      <c r="AI91" s="50"/>
    </row>
    <row r="92" spans="1:35" ht="17.25" customHeight="1" x14ac:dyDescent="0.25">
      <c r="B92" s="366" t="s">
        <v>375</v>
      </c>
      <c r="C92" s="69"/>
      <c r="D92" s="69"/>
      <c r="E92" s="69"/>
      <c r="F92" s="69"/>
      <c r="G92" s="69"/>
      <c r="H92" s="50"/>
      <c r="I92" s="50"/>
      <c r="J92" s="50"/>
      <c r="K92" s="50"/>
      <c r="L92" s="50"/>
      <c r="M92" s="50"/>
      <c r="N92" s="50"/>
      <c r="O92" s="50"/>
      <c r="P92" s="212"/>
      <c r="Q92" s="50"/>
      <c r="R92" s="50"/>
      <c r="S92" s="50"/>
      <c r="T92" s="50"/>
      <c r="U92" s="50"/>
      <c r="V92" s="50"/>
      <c r="W92" s="50"/>
      <c r="X92" s="50"/>
      <c r="Y92" s="50"/>
      <c r="Z92" s="50"/>
      <c r="AA92" s="50"/>
      <c r="AB92" s="50"/>
      <c r="AC92" s="50"/>
      <c r="AD92" s="50"/>
      <c r="AE92" s="50"/>
      <c r="AF92" s="50"/>
      <c r="AG92" s="50"/>
      <c r="AH92" s="50"/>
      <c r="AI92" s="50"/>
    </row>
    <row r="93" spans="1:35" ht="14.85" customHeight="1" x14ac:dyDescent="0.25">
      <c r="B93" s="1362" t="s">
        <v>376</v>
      </c>
      <c r="C93" s="1363"/>
      <c r="D93" s="1366" t="s">
        <v>280</v>
      </c>
      <c r="E93" s="1379"/>
      <c r="F93" s="1379"/>
      <c r="G93" s="1379"/>
      <c r="H93" s="1379"/>
      <c r="I93" s="1379"/>
      <c r="J93" s="1379"/>
      <c r="K93" s="1379"/>
      <c r="L93" s="1379"/>
      <c r="M93" s="1379"/>
      <c r="N93" s="1379"/>
      <c r="O93" s="1379"/>
      <c r="P93" s="1379"/>
      <c r="Q93" s="1379"/>
      <c r="R93" s="1379"/>
      <c r="S93" s="1379"/>
      <c r="T93" s="1379"/>
      <c r="U93" s="1379"/>
      <c r="V93" s="1367"/>
      <c r="W93" s="1390" t="s">
        <v>281</v>
      </c>
      <c r="X93" s="1391"/>
      <c r="Y93" s="1391"/>
      <c r="Z93" s="1391"/>
      <c r="AA93" s="1391"/>
      <c r="AB93" s="1391"/>
      <c r="AC93" s="1391"/>
      <c r="AD93" s="1391"/>
      <c r="AE93" s="1391"/>
      <c r="AF93" s="1391"/>
      <c r="AG93" s="1391"/>
      <c r="AH93" s="182"/>
      <c r="AI93" s="182"/>
    </row>
    <row r="94" spans="1:35" x14ac:dyDescent="0.25">
      <c r="B94" s="1364"/>
      <c r="C94" s="1365"/>
      <c r="D94" s="200">
        <v>2018</v>
      </c>
      <c r="E94" s="1371">
        <v>2019</v>
      </c>
      <c r="F94" s="1372"/>
      <c r="G94" s="1372"/>
      <c r="H94" s="1373"/>
      <c r="I94" s="1371">
        <v>2020</v>
      </c>
      <c r="J94" s="1372"/>
      <c r="K94" s="1372"/>
      <c r="L94" s="1372"/>
      <c r="M94" s="1371">
        <v>2021</v>
      </c>
      <c r="N94" s="1372"/>
      <c r="O94" s="1372"/>
      <c r="P94" s="1372"/>
      <c r="Q94" s="1388">
        <v>2022</v>
      </c>
      <c r="R94" s="1389"/>
      <c r="S94" s="270"/>
      <c r="T94" s="270"/>
      <c r="U94" s="221"/>
      <c r="V94" s="270">
        <v>2023</v>
      </c>
      <c r="W94" s="272"/>
      <c r="X94" s="242"/>
      <c r="Y94" s="1369">
        <v>2024</v>
      </c>
      <c r="Z94" s="1381"/>
      <c r="AA94" s="1381"/>
      <c r="AB94" s="1370"/>
      <c r="AC94" s="1368">
        <v>2025</v>
      </c>
      <c r="AD94" s="1369"/>
      <c r="AE94" s="1369"/>
      <c r="AF94" s="1370"/>
      <c r="AG94" s="327">
        <v>2026</v>
      </c>
      <c r="AH94" s="222"/>
      <c r="AI94" s="222"/>
    </row>
    <row r="95" spans="1:35" x14ac:dyDescent="0.25">
      <c r="B95" s="1366"/>
      <c r="C95" s="1367"/>
      <c r="D95" s="195" t="s">
        <v>282</v>
      </c>
      <c r="E95" s="195" t="s">
        <v>283</v>
      </c>
      <c r="F95" s="196" t="s">
        <v>284</v>
      </c>
      <c r="G95" s="196" t="s">
        <v>238</v>
      </c>
      <c r="H95" s="197" t="s">
        <v>282</v>
      </c>
      <c r="I95" s="196" t="s">
        <v>283</v>
      </c>
      <c r="J95" s="196" t="s">
        <v>284</v>
      </c>
      <c r="K95" s="196" t="s">
        <v>238</v>
      </c>
      <c r="L95" s="196" t="s">
        <v>282</v>
      </c>
      <c r="M95" s="195" t="s">
        <v>283</v>
      </c>
      <c r="N95" s="196" t="s">
        <v>284</v>
      </c>
      <c r="O95" s="196" t="s">
        <v>238</v>
      </c>
      <c r="P95" s="196" t="s">
        <v>282</v>
      </c>
      <c r="Q95" s="195" t="s">
        <v>283</v>
      </c>
      <c r="R95" s="196" t="s">
        <v>284</v>
      </c>
      <c r="S95" s="196" t="s">
        <v>238</v>
      </c>
      <c r="T95" s="196" t="s">
        <v>282</v>
      </c>
      <c r="U95" s="267" t="s">
        <v>283</v>
      </c>
      <c r="V95" s="268" t="s">
        <v>284</v>
      </c>
      <c r="W95" s="252" t="s">
        <v>238</v>
      </c>
      <c r="X95" s="253" t="s">
        <v>282</v>
      </c>
      <c r="Y95" s="252" t="s">
        <v>283</v>
      </c>
      <c r="Z95" s="249" t="s">
        <v>284</v>
      </c>
      <c r="AA95" s="252" t="s">
        <v>238</v>
      </c>
      <c r="AB95" s="252" t="s">
        <v>282</v>
      </c>
      <c r="AC95" s="251" t="s">
        <v>283</v>
      </c>
      <c r="AD95" s="249" t="s">
        <v>284</v>
      </c>
      <c r="AE95" s="252" t="s">
        <v>238</v>
      </c>
      <c r="AF95" s="253" t="s">
        <v>282</v>
      </c>
      <c r="AG95" s="328" t="s">
        <v>283</v>
      </c>
      <c r="AH95" s="35"/>
      <c r="AI95" s="35"/>
    </row>
    <row r="96" spans="1:35" ht="29.25" customHeight="1" x14ac:dyDescent="0.25">
      <c r="B96" s="338" t="s">
        <v>377</v>
      </c>
      <c r="C96" s="406"/>
      <c r="D96" s="339"/>
      <c r="E96" s="340"/>
      <c r="F96" s="340"/>
      <c r="G96" s="340"/>
      <c r="H96" s="341">
        <f t="shared" ref="H96:O96" si="26">SUM(H98:H106)</f>
        <v>206.82899999999995</v>
      </c>
      <c r="I96" s="341">
        <f t="shared" si="26"/>
        <v>214.11100000000005</v>
      </c>
      <c r="J96" s="341">
        <f t="shared" si="26"/>
        <v>320.24999999999989</v>
      </c>
      <c r="K96" s="341">
        <f t="shared" si="26"/>
        <v>298.13400000000001</v>
      </c>
      <c r="L96" s="341">
        <f t="shared" si="26"/>
        <v>289.54399999999998</v>
      </c>
      <c r="M96" s="341">
        <f t="shared" si="26"/>
        <v>320.34099999999995</v>
      </c>
      <c r="N96" s="341">
        <f t="shared" si="26"/>
        <v>354.35800000000017</v>
      </c>
      <c r="O96" s="341">
        <f t="shared" si="26"/>
        <v>375.57600000000008</v>
      </c>
      <c r="P96" s="422">
        <f>SUM(P98:P107)</f>
        <v>396.106852</v>
      </c>
      <c r="Q96" s="341">
        <f>SUM(Q98:Q107)</f>
        <v>433.66327480000001</v>
      </c>
      <c r="R96" s="341">
        <f>SUM(R98:R107)</f>
        <v>500.88603199999994</v>
      </c>
      <c r="S96" s="341">
        <f>SUM(S98:S107)</f>
        <v>486.87586800000008</v>
      </c>
      <c r="T96" s="360">
        <f t="shared" ref="T96:AG96" si="27">SUM(T98:T107)</f>
        <v>445.45392800000008</v>
      </c>
      <c r="U96" s="306">
        <f>SUM(U98:U107)</f>
        <v>439.61154320000009</v>
      </c>
      <c r="V96" s="306">
        <f>SUM(V98:V107)</f>
        <v>429.15772000000004</v>
      </c>
      <c r="W96" s="306">
        <f>SUM(W98:W107)</f>
        <v>415.61894400000006</v>
      </c>
      <c r="X96" s="306">
        <f t="shared" si="27"/>
        <v>427.53694400000006</v>
      </c>
      <c r="Y96" s="400">
        <f t="shared" si="27"/>
        <v>425.03897260832036</v>
      </c>
      <c r="Z96" s="400">
        <f t="shared" si="27"/>
        <v>405.0704277518426</v>
      </c>
      <c r="AA96" s="400">
        <f t="shared" si="27"/>
        <v>409.42293694667461</v>
      </c>
      <c r="AB96" s="400">
        <f t="shared" si="27"/>
        <v>414.0652857</v>
      </c>
      <c r="AC96" s="313">
        <f t="shared" si="27"/>
        <v>397.1246120326532</v>
      </c>
      <c r="AD96" s="313">
        <f t="shared" si="27"/>
        <v>392.34043100191627</v>
      </c>
      <c r="AE96" s="313">
        <f>SUM(AE98:AE107)</f>
        <v>394.75671922454154</v>
      </c>
      <c r="AF96" s="313">
        <f t="shared" si="27"/>
        <v>393.31111720000007</v>
      </c>
      <c r="AG96" s="311">
        <f t="shared" si="27"/>
        <v>268.27507963395931</v>
      </c>
      <c r="AH96" s="326"/>
      <c r="AI96" s="326"/>
    </row>
    <row r="97" spans="2:35" ht="19.350000000000001" customHeight="1" x14ac:dyDescent="0.25">
      <c r="B97" s="414" t="s">
        <v>378</v>
      </c>
      <c r="C97" s="211"/>
      <c r="D97" s="256"/>
      <c r="E97" s="211"/>
      <c r="F97" s="211"/>
      <c r="G97" s="211"/>
      <c r="H97" s="306"/>
      <c r="I97" s="306"/>
      <c r="J97" s="306"/>
      <c r="K97" s="306"/>
      <c r="L97" s="306"/>
      <c r="M97" s="306"/>
      <c r="N97" s="306"/>
      <c r="O97" s="306"/>
      <c r="P97" s="207"/>
      <c r="Q97" s="306"/>
      <c r="R97" s="306"/>
      <c r="S97" s="306"/>
      <c r="T97" s="306"/>
      <c r="U97" s="306"/>
      <c r="V97" s="306"/>
      <c r="W97" s="306"/>
      <c r="X97" s="306"/>
      <c r="Y97" s="314"/>
      <c r="Z97" s="314"/>
      <c r="AA97" s="314"/>
      <c r="AB97" s="314"/>
      <c r="AC97" s="314"/>
      <c r="AD97" s="314"/>
      <c r="AE97" s="314"/>
      <c r="AF97" s="314"/>
      <c r="AG97" s="314"/>
      <c r="AH97" s="326"/>
      <c r="AI97" s="326"/>
    </row>
    <row r="98" spans="2:35" x14ac:dyDescent="0.25">
      <c r="B98" s="350" t="s">
        <v>152</v>
      </c>
      <c r="C98" s="49"/>
      <c r="D98" s="346"/>
      <c r="E98" s="49"/>
      <c r="F98" s="49"/>
      <c r="G98" s="49"/>
      <c r="H98" s="306"/>
      <c r="I98" s="306"/>
      <c r="J98" s="306">
        <f t="shared" ref="J98:AC98" si="28">J14</f>
        <v>64.400000000000006</v>
      </c>
      <c r="K98" s="306">
        <f t="shared" si="28"/>
        <v>23.4</v>
      </c>
      <c r="L98" s="306">
        <f t="shared" si="28"/>
        <v>13.8</v>
      </c>
      <c r="M98" s="306">
        <f t="shared" si="28"/>
        <v>12</v>
      </c>
      <c r="N98" s="306">
        <f t="shared" si="28"/>
        <v>7.5</v>
      </c>
      <c r="O98" s="306">
        <f t="shared" si="28"/>
        <v>10.5</v>
      </c>
      <c r="P98" s="207">
        <f t="shared" si="28"/>
        <v>18</v>
      </c>
      <c r="Q98" s="306">
        <f t="shared" si="28"/>
        <v>15</v>
      </c>
      <c r="R98" s="306">
        <f t="shared" si="28"/>
        <v>11.2</v>
      </c>
      <c r="S98" s="306">
        <f t="shared" si="28"/>
        <v>7.5</v>
      </c>
      <c r="T98" s="306">
        <f t="shared" si="28"/>
        <v>6.2</v>
      </c>
      <c r="U98" s="306">
        <f t="shared" si="28"/>
        <v>0</v>
      </c>
      <c r="V98" s="306">
        <f t="shared" si="28"/>
        <v>0</v>
      </c>
      <c r="W98" s="306">
        <f t="shared" si="28"/>
        <v>0</v>
      </c>
      <c r="X98" s="306">
        <f t="shared" si="28"/>
        <v>0</v>
      </c>
      <c r="Y98" s="314">
        <f t="shared" si="28"/>
        <v>0</v>
      </c>
      <c r="Z98" s="314">
        <f t="shared" si="28"/>
        <v>0</v>
      </c>
      <c r="AA98" s="314">
        <f t="shared" si="28"/>
        <v>0</v>
      </c>
      <c r="AB98" s="314">
        <f t="shared" si="28"/>
        <v>0</v>
      </c>
      <c r="AC98" s="314">
        <f t="shared" si="28"/>
        <v>0</v>
      </c>
      <c r="AD98" s="314">
        <f t="shared" ref="AD98:AG98" si="29">AD14</f>
        <v>0</v>
      </c>
      <c r="AE98" s="314">
        <f t="shared" si="29"/>
        <v>0</v>
      </c>
      <c r="AF98" s="314">
        <f t="shared" si="29"/>
        <v>0</v>
      </c>
      <c r="AG98" s="314">
        <f t="shared" si="29"/>
        <v>0</v>
      </c>
      <c r="AH98" s="306"/>
      <c r="AI98" s="306"/>
    </row>
    <row r="99" spans="2:35" x14ac:dyDescent="0.25">
      <c r="B99" s="350" t="s">
        <v>343</v>
      </c>
      <c r="C99" s="49"/>
      <c r="D99" s="346"/>
      <c r="E99" s="49"/>
      <c r="F99" s="49"/>
      <c r="G99" s="49"/>
      <c r="H99" s="306"/>
      <c r="I99" s="306"/>
      <c r="J99" s="306"/>
      <c r="K99" s="306"/>
      <c r="L99" s="306"/>
      <c r="M99" s="306">
        <f>M51</f>
        <v>9.6666666666666661</v>
      </c>
      <c r="N99" s="306">
        <f t="shared" ref="N99:AC99" si="30">N51</f>
        <v>9.6666666666666661</v>
      </c>
      <c r="O99" s="306">
        <f t="shared" si="30"/>
        <v>9.6666666666666661</v>
      </c>
      <c r="P99" s="207">
        <f t="shared" si="30"/>
        <v>9.6666666666666661</v>
      </c>
      <c r="Q99" s="306">
        <f>Q51</f>
        <v>9.6666666666666661</v>
      </c>
      <c r="R99" s="306">
        <f>R51</f>
        <v>9.6666666666666661</v>
      </c>
      <c r="S99" s="306">
        <f>S51</f>
        <v>9.6666666666666661</v>
      </c>
      <c r="T99" s="306">
        <f t="shared" si="30"/>
        <v>9.6666666666666661</v>
      </c>
      <c r="U99" s="306">
        <f t="shared" si="30"/>
        <v>9.6666666666666661</v>
      </c>
      <c r="V99" s="306">
        <f t="shared" si="30"/>
        <v>9.6666666666666661</v>
      </c>
      <c r="W99" s="306">
        <f t="shared" si="30"/>
        <v>9.6666666666666661</v>
      </c>
      <c r="X99" s="306">
        <f t="shared" si="30"/>
        <v>9.6666666666666661</v>
      </c>
      <c r="Y99" s="314">
        <f t="shared" si="30"/>
        <v>0</v>
      </c>
      <c r="Z99" s="314">
        <f t="shared" si="30"/>
        <v>0</v>
      </c>
      <c r="AA99" s="314">
        <f t="shared" si="30"/>
        <v>0</v>
      </c>
      <c r="AB99" s="314">
        <f t="shared" si="30"/>
        <v>0</v>
      </c>
      <c r="AC99" s="314">
        <f t="shared" si="30"/>
        <v>0</v>
      </c>
      <c r="AD99" s="314">
        <f t="shared" ref="AD99:AG99" si="31">AD51</f>
        <v>0</v>
      </c>
      <c r="AE99" s="314">
        <f t="shared" si="31"/>
        <v>0</v>
      </c>
      <c r="AF99" s="314">
        <f t="shared" si="31"/>
        <v>0</v>
      </c>
      <c r="AG99" s="314">
        <f t="shared" si="31"/>
        <v>0</v>
      </c>
      <c r="AH99" s="306"/>
      <c r="AI99" s="306"/>
    </row>
    <row r="100" spans="2:35" x14ac:dyDescent="0.25">
      <c r="B100" s="350" t="s">
        <v>379</v>
      </c>
      <c r="C100" s="49"/>
      <c r="D100" s="346"/>
      <c r="E100" s="49"/>
      <c r="F100" s="49"/>
      <c r="G100" s="49"/>
      <c r="H100" s="306"/>
      <c r="I100" s="306"/>
      <c r="J100" s="306"/>
      <c r="K100" s="306"/>
      <c r="L100" s="306"/>
      <c r="M100" s="306">
        <f t="shared" ref="M100:AC100" si="32">M16</f>
        <v>12</v>
      </c>
      <c r="N100" s="306">
        <f t="shared" si="32"/>
        <v>12</v>
      </c>
      <c r="O100" s="306">
        <f t="shared" si="32"/>
        <v>12</v>
      </c>
      <c r="P100" s="207">
        <f t="shared" si="32"/>
        <v>12</v>
      </c>
      <c r="Q100" s="306">
        <f t="shared" si="32"/>
        <v>12</v>
      </c>
      <c r="R100" s="306">
        <f t="shared" si="32"/>
        <v>12</v>
      </c>
      <c r="S100" s="306">
        <f t="shared" si="32"/>
        <v>12</v>
      </c>
      <c r="T100" s="306">
        <f t="shared" si="32"/>
        <v>12</v>
      </c>
      <c r="U100" s="306">
        <f t="shared" si="32"/>
        <v>12</v>
      </c>
      <c r="V100" s="306">
        <f t="shared" si="32"/>
        <v>12</v>
      </c>
      <c r="W100" s="306">
        <f t="shared" si="32"/>
        <v>12</v>
      </c>
      <c r="X100" s="306">
        <f t="shared" si="32"/>
        <v>12</v>
      </c>
      <c r="Y100" s="314">
        <f t="shared" si="32"/>
        <v>0</v>
      </c>
      <c r="Z100" s="314">
        <f t="shared" si="32"/>
        <v>0</v>
      </c>
      <c r="AA100" s="314">
        <f t="shared" si="32"/>
        <v>0</v>
      </c>
      <c r="AB100" s="314">
        <f t="shared" si="32"/>
        <v>0</v>
      </c>
      <c r="AC100" s="314">
        <f t="shared" si="32"/>
        <v>0</v>
      </c>
      <c r="AD100" s="314">
        <f t="shared" ref="AD100:AG100" si="33">AD16</f>
        <v>0</v>
      </c>
      <c r="AE100" s="314">
        <f t="shared" si="33"/>
        <v>0</v>
      </c>
      <c r="AF100" s="314">
        <f t="shared" si="33"/>
        <v>0</v>
      </c>
      <c r="AG100" s="314">
        <f t="shared" si="33"/>
        <v>0</v>
      </c>
      <c r="AH100" s="306"/>
      <c r="AI100" s="306"/>
    </row>
    <row r="101" spans="2:35" x14ac:dyDescent="0.25">
      <c r="B101" s="350" t="s">
        <v>380</v>
      </c>
      <c r="C101" s="49"/>
      <c r="D101" s="346"/>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301">
        <f t="shared" si="34"/>
        <v>244.61933333333332</v>
      </c>
      <c r="Q101" s="52">
        <f t="shared" si="34"/>
        <v>248.60033333333331</v>
      </c>
      <c r="R101" s="52">
        <f t="shared" si="34"/>
        <v>262.76933333333329</v>
      </c>
      <c r="S101" s="52">
        <f t="shared" si="34"/>
        <v>260.1133333333334</v>
      </c>
      <c r="T101" s="52">
        <f t="shared" si="34"/>
        <v>222.98033333333342</v>
      </c>
      <c r="U101" s="336">
        <f>U20</f>
        <v>236.8250000000001</v>
      </c>
      <c r="V101" s="52">
        <f>V20</f>
        <v>227.57700000000006</v>
      </c>
      <c r="W101" s="52">
        <f t="shared" si="34"/>
        <v>220.74100000000004</v>
      </c>
      <c r="X101" s="52">
        <f>X20</f>
        <v>243.04900000000009</v>
      </c>
      <c r="Y101" s="315">
        <f t="shared" si="34"/>
        <v>245.44386060832042</v>
      </c>
      <c r="Z101" s="315">
        <f t="shared" si="34"/>
        <v>247.86231875184262</v>
      </c>
      <c r="AA101" s="315">
        <f t="shared" si="34"/>
        <v>250.30460694667462</v>
      </c>
      <c r="AB101" s="315">
        <f t="shared" si="34"/>
        <v>252.77096000000006</v>
      </c>
      <c r="AC101" s="315">
        <f t="shared" si="34"/>
        <v>255.2616150326532</v>
      </c>
      <c r="AD101" s="315">
        <f>AD20</f>
        <v>257.77681150191631</v>
      </c>
      <c r="AE101" s="315">
        <f>AE20</f>
        <v>260.31679122454159</v>
      </c>
      <c r="AF101" s="315">
        <f t="shared" ref="AF101" si="35">AF20</f>
        <v>262.88179840000004</v>
      </c>
      <c r="AG101" s="315">
        <f>AG20</f>
        <v>265.47207963395931</v>
      </c>
      <c r="AH101" s="52"/>
      <c r="AI101" s="52"/>
    </row>
    <row r="102" spans="2:35" x14ac:dyDescent="0.25">
      <c r="B102" s="350" t="s">
        <v>1190</v>
      </c>
      <c r="C102" s="49"/>
      <c r="D102" s="346"/>
      <c r="E102" s="49"/>
      <c r="F102" s="49"/>
      <c r="G102" s="49"/>
      <c r="H102" s="52"/>
      <c r="I102" s="52"/>
      <c r="J102" s="52"/>
      <c r="K102" s="52"/>
      <c r="L102" s="52"/>
      <c r="M102" s="52"/>
      <c r="N102" s="52"/>
      <c r="O102" s="52"/>
      <c r="P102" s="301"/>
      <c r="Q102" s="52"/>
      <c r="R102" s="52"/>
      <c r="S102" s="308">
        <f>'IRA and CHIPS'!E184</f>
        <v>0</v>
      </c>
      <c r="T102" s="308">
        <f>'IRA and CHIPS'!F184</f>
        <v>6.8000000000000005E-2</v>
      </c>
      <c r="U102" s="308">
        <f>'IRA and CHIPS'!G184</f>
        <v>6.8000000000000005E-2</v>
      </c>
      <c r="V102" s="308">
        <f>'IRA and CHIPS'!H184</f>
        <v>6.8000000000000005E-2</v>
      </c>
      <c r="W102" s="308">
        <f>'IRA and CHIPS'!I184</f>
        <v>6.8000000000000005E-2</v>
      </c>
      <c r="X102" s="308">
        <f>'IRA and CHIPS'!J184</f>
        <v>1.363</v>
      </c>
      <c r="Y102" s="331">
        <f>'IRA and CHIPS'!K184</f>
        <v>1.363</v>
      </c>
      <c r="Z102" s="331">
        <f>'IRA and CHIPS'!L184</f>
        <v>1.363</v>
      </c>
      <c r="AA102" s="331">
        <f>'IRA and CHIPS'!M184</f>
        <v>1.363</v>
      </c>
      <c r="AB102" s="331">
        <f>'IRA and CHIPS'!N184</f>
        <v>2.4329999999999998</v>
      </c>
      <c r="AC102" s="331">
        <f>'IRA and CHIPS'!O184</f>
        <v>2.4329999999999998</v>
      </c>
      <c r="AD102" s="331">
        <f>'IRA and CHIPS'!P184</f>
        <v>2.4329999999999998</v>
      </c>
      <c r="AE102" s="331">
        <f>'IRA and CHIPS'!Q184</f>
        <v>2.4329999999999998</v>
      </c>
      <c r="AF102" s="331">
        <f>'IRA and CHIPS'!R184</f>
        <v>2.8029999999999999</v>
      </c>
      <c r="AG102" s="331">
        <f>'IRA and CHIPS'!S184</f>
        <v>2.8029999999999999</v>
      </c>
      <c r="AH102" s="52"/>
      <c r="AI102" s="52"/>
    </row>
    <row r="103" spans="2:35" ht="14.85" customHeight="1" x14ac:dyDescent="0.25">
      <c r="B103" s="392" t="s">
        <v>381</v>
      </c>
      <c r="C103" s="49"/>
      <c r="D103" s="346"/>
      <c r="E103" s="49"/>
      <c r="F103" s="49"/>
      <c r="G103" s="49"/>
      <c r="H103" s="306"/>
      <c r="I103" s="306"/>
      <c r="J103" s="306"/>
      <c r="K103" s="306"/>
      <c r="L103" s="306"/>
      <c r="M103" s="306"/>
      <c r="N103" s="306"/>
      <c r="O103" s="306"/>
      <c r="P103" s="207"/>
      <c r="Q103" s="306"/>
      <c r="R103" s="306"/>
      <c r="S103" s="306"/>
      <c r="T103" s="306"/>
      <c r="U103" s="306"/>
      <c r="V103" s="306"/>
      <c r="W103" s="306"/>
      <c r="X103" s="306"/>
      <c r="Y103" s="314"/>
      <c r="Z103" s="314"/>
      <c r="AA103" s="314"/>
      <c r="AB103" s="314"/>
      <c r="AC103" s="314"/>
      <c r="AD103" s="314"/>
      <c r="AE103" s="314"/>
      <c r="AF103" s="314"/>
      <c r="AG103" s="314"/>
      <c r="AH103" s="306"/>
      <c r="AI103" s="306"/>
    </row>
    <row r="104" spans="2:35" ht="14.85" customHeight="1" x14ac:dyDescent="0.25">
      <c r="B104" s="350" t="s">
        <v>150</v>
      </c>
      <c r="C104" s="49"/>
      <c r="D104" s="346"/>
      <c r="E104" s="49"/>
      <c r="F104" s="49"/>
      <c r="G104" s="49"/>
      <c r="H104" s="306"/>
      <c r="I104" s="306"/>
      <c r="J104" s="306">
        <f t="shared" ref="J104:W104" si="36">J13</f>
        <v>28.4</v>
      </c>
      <c r="K104" s="306">
        <f t="shared" si="36"/>
        <v>15.8</v>
      </c>
      <c r="L104" s="306">
        <f t="shared" si="36"/>
        <v>15.2</v>
      </c>
      <c r="M104" s="306">
        <f t="shared" si="36"/>
        <v>28.9</v>
      </c>
      <c r="N104" s="306">
        <f t="shared" si="36"/>
        <v>67.599999999999994</v>
      </c>
      <c r="O104" s="306">
        <f t="shared" si="36"/>
        <v>80.7</v>
      </c>
      <c r="P104" s="207">
        <f t="shared" si="36"/>
        <v>87.2</v>
      </c>
      <c r="Q104" s="306">
        <f t="shared" si="36"/>
        <v>72.400000000000006</v>
      </c>
      <c r="R104" s="306">
        <f t="shared" si="36"/>
        <v>85.9</v>
      </c>
      <c r="S104" s="342">
        <f t="shared" si="36"/>
        <v>68.3</v>
      </c>
      <c r="T104" s="342">
        <f t="shared" si="36"/>
        <v>64</v>
      </c>
      <c r="U104" s="342">
        <f t="shared" si="36"/>
        <v>60.929333333333297</v>
      </c>
      <c r="V104" s="342">
        <f t="shared" si="36"/>
        <v>60.929333333333297</v>
      </c>
      <c r="W104" s="342">
        <f t="shared" si="36"/>
        <v>60.929333333333297</v>
      </c>
      <c r="X104" s="342">
        <f>X13</f>
        <v>54.244333333333302</v>
      </c>
      <c r="Y104" s="314">
        <f>Y48+Y52+'ARP Quarterly'!O28</f>
        <v>61.518167999999996</v>
      </c>
      <c r="Z104" s="314">
        <f>Z48+Z52+'ARP Quarterly'!P28</f>
        <v>44.428388999999996</v>
      </c>
      <c r="AA104" s="314">
        <f>AA48+AA52+'ARP Quarterly'!Q28</f>
        <v>46.338610000000003</v>
      </c>
      <c r="AB104" s="314">
        <f>AB48+AB52+'ARP Quarterly'!R28</f>
        <v>47.279744500000007</v>
      </c>
      <c r="AC104" s="314">
        <f>AC48+AC52+'ARP Quarterly'!S28</f>
        <v>46.283419000000009</v>
      </c>
      <c r="AD104" s="314">
        <f>AD48+AD52+'ARP Quarterly'!T28</f>
        <v>45.578489500000011</v>
      </c>
      <c r="AE104" s="314">
        <f>AE48+AE52+'ARP Quarterly'!U28</f>
        <v>45.454798000000011</v>
      </c>
      <c r="AF104" s="314">
        <f>AF48+AF52+'ARP Quarterly'!V28</f>
        <v>45.360580000000013</v>
      </c>
      <c r="AG104" s="311"/>
      <c r="AH104" s="329"/>
      <c r="AI104" s="306"/>
    </row>
    <row r="105" spans="2:35" x14ac:dyDescent="0.25">
      <c r="B105" s="350" t="s">
        <v>149</v>
      </c>
      <c r="C105" s="52"/>
      <c r="D105" s="418"/>
      <c r="E105" s="52"/>
      <c r="F105" s="52"/>
      <c r="G105" s="52"/>
      <c r="H105" s="306"/>
      <c r="I105" s="306"/>
      <c r="J105" s="306">
        <v>35</v>
      </c>
      <c r="K105" s="306">
        <v>45</v>
      </c>
      <c r="L105" s="306">
        <v>45</v>
      </c>
      <c r="M105" s="306">
        <v>40</v>
      </c>
      <c r="N105" s="306">
        <v>40</v>
      </c>
      <c r="O105" s="306">
        <v>40</v>
      </c>
      <c r="P105" s="207">
        <v>40</v>
      </c>
      <c r="Q105" s="306">
        <v>50</v>
      </c>
      <c r="R105" s="306">
        <v>50</v>
      </c>
      <c r="S105" s="306">
        <v>50</v>
      </c>
      <c r="T105" s="306">
        <v>50</v>
      </c>
      <c r="U105" s="337">
        <v>40</v>
      </c>
      <c r="V105" s="306">
        <v>30</v>
      </c>
      <c r="W105" s="306">
        <v>20</v>
      </c>
      <c r="X105" s="306">
        <v>15</v>
      </c>
      <c r="Y105" s="314">
        <v>10</v>
      </c>
      <c r="Z105" s="314">
        <v>0</v>
      </c>
      <c r="AA105" s="314">
        <v>0</v>
      </c>
      <c r="AB105" s="314">
        <v>0</v>
      </c>
      <c r="AC105" s="314">
        <v>0</v>
      </c>
      <c r="AD105" s="314">
        <v>0</v>
      </c>
      <c r="AE105" s="314">
        <v>0</v>
      </c>
      <c r="AF105" s="314">
        <v>0</v>
      </c>
      <c r="AG105" s="314">
        <v>0</v>
      </c>
      <c r="AH105" s="145"/>
    </row>
    <row r="106" spans="2:35" ht="28.5" customHeight="1" x14ac:dyDescent="0.25">
      <c r="B106" s="363" t="s">
        <v>382</v>
      </c>
      <c r="C106" s="377"/>
      <c r="D106" s="346"/>
      <c r="E106" s="49"/>
      <c r="F106" s="49"/>
      <c r="G106" s="49"/>
      <c r="H106" s="306"/>
      <c r="I106" s="306"/>
      <c r="J106" s="306"/>
      <c r="K106" s="306"/>
      <c r="L106" s="306"/>
      <c r="M106" s="306"/>
      <c r="N106" s="306">
        <f>'ARP Quarterly'!D47</f>
        <v>0</v>
      </c>
      <c r="O106" s="306">
        <f>'ARP Quarterly'!E47</f>
        <v>0</v>
      </c>
      <c r="P106" s="207">
        <f>'ARP Quarterly'!F47</f>
        <v>34.620851999999999</v>
      </c>
      <c r="Q106" s="306">
        <f>'ARP Quarterly'!G47</f>
        <v>50.996274799999995</v>
      </c>
      <c r="R106" s="306">
        <f>'ARP Quarterly'!H47</f>
        <v>69.350031999999999</v>
      </c>
      <c r="S106" s="306">
        <f>'ARP Quarterly'!I47</f>
        <v>79.295867999999999</v>
      </c>
      <c r="T106" s="306">
        <f>'ARP Quarterly'!J47</f>
        <v>80.538927999999999</v>
      </c>
      <c r="U106" s="306">
        <f>'ARP Quarterly'!K47</f>
        <v>80.122543199999996</v>
      </c>
      <c r="V106" s="306">
        <f>'ARP Quarterly'!L47</f>
        <v>88.916719999999998</v>
      </c>
      <c r="W106" s="307">
        <f>'ARP Quarterly'!M47</f>
        <v>92.213943999999998</v>
      </c>
      <c r="X106" s="307">
        <f>'ARP Quarterly'!N47</f>
        <v>92.213943999999998</v>
      </c>
      <c r="Y106" s="403">
        <f>'ARP Quarterly'!O47</f>
        <v>94.213943999999998</v>
      </c>
      <c r="Z106" s="403">
        <f>'ARP Quarterly'!P47</f>
        <v>98.916719999999998</v>
      </c>
      <c r="AA106" s="403">
        <f>'ARP Quarterly'!Q47</f>
        <v>98.916719999999998</v>
      </c>
      <c r="AB106" s="403">
        <f>'ARP Quarterly'!R47</f>
        <v>99.081581199999988</v>
      </c>
      <c r="AC106" s="314">
        <f>'ARP Quarterly'!S47</f>
        <v>93.146578000000005</v>
      </c>
      <c r="AD106" s="314">
        <f>'ARP Quarterly'!T47</f>
        <v>86.552129999999991</v>
      </c>
      <c r="AE106" s="314">
        <f>'ARP Quarterly'!U47</f>
        <v>86.552129999999991</v>
      </c>
      <c r="AF106" s="314">
        <f>'ARP Quarterly'!V47</f>
        <v>82.265738799999994</v>
      </c>
      <c r="AG106" s="311"/>
      <c r="AH106" s="390"/>
    </row>
    <row r="107" spans="2:35" ht="55.35" customHeight="1" x14ac:dyDescent="0.25">
      <c r="B107" s="370" t="s">
        <v>832</v>
      </c>
      <c r="C107" s="371"/>
      <c r="D107" s="344"/>
      <c r="E107" s="345"/>
      <c r="F107" s="345"/>
      <c r="G107" s="345"/>
      <c r="H107" s="345"/>
      <c r="I107" s="371"/>
      <c r="J107" s="371"/>
      <c r="K107" s="371"/>
      <c r="L107" s="371"/>
      <c r="M107" s="371"/>
      <c r="N107" s="371"/>
      <c r="O107" s="371"/>
      <c r="P107" s="371">
        <v>-50</v>
      </c>
      <c r="Q107" s="371">
        <v>-25</v>
      </c>
      <c r="R107" s="371"/>
      <c r="S107" s="371"/>
      <c r="T107" s="371"/>
      <c r="U107" s="419"/>
      <c r="V107" s="345"/>
      <c r="W107" s="371"/>
      <c r="X107" s="371"/>
      <c r="Y107" s="371">
        <v>12.5</v>
      </c>
      <c r="Z107" s="371">
        <v>12.5</v>
      </c>
      <c r="AA107" s="371">
        <v>12.5</v>
      </c>
      <c r="AB107" s="371">
        <v>12.5</v>
      </c>
      <c r="AC107" s="419"/>
      <c r="AD107" s="222"/>
      <c r="AE107" s="222"/>
      <c r="AF107" s="222"/>
      <c r="AG107" s="222"/>
    </row>
    <row r="108" spans="2:35" x14ac:dyDescent="0.25">
      <c r="B108" s="265"/>
      <c r="C108" s="222"/>
      <c r="D108" s="222"/>
      <c r="E108" s="222"/>
      <c r="F108" s="222"/>
      <c r="G108" s="222"/>
      <c r="H108" s="222"/>
      <c r="I108" s="222"/>
      <c r="J108" s="222"/>
      <c r="K108" s="222"/>
      <c r="L108" s="222"/>
      <c r="M108" s="222"/>
      <c r="N108" s="222"/>
      <c r="O108" s="222"/>
      <c r="P108" s="222"/>
      <c r="Q108" s="222"/>
      <c r="R108" s="222"/>
      <c r="S108" s="222"/>
      <c r="T108" s="222"/>
      <c r="U108" s="222"/>
      <c r="V108" s="222"/>
      <c r="W108" s="222"/>
      <c r="X108" s="222"/>
      <c r="Y108" s="222"/>
      <c r="Z108" s="222"/>
      <c r="AA108" s="222"/>
      <c r="AB108" s="222"/>
      <c r="AC108" s="222"/>
      <c r="AD108" s="222"/>
      <c r="AE108" s="222"/>
      <c r="AF108" s="222"/>
      <c r="AG108" s="222"/>
    </row>
    <row r="109" spans="2:35" x14ac:dyDescent="0.25">
      <c r="B109" s="265"/>
      <c r="C109" s="222"/>
      <c r="D109" s="222"/>
      <c r="E109" s="222"/>
      <c r="F109" s="222"/>
      <c r="G109" s="222"/>
      <c r="H109" s="222"/>
      <c r="I109" s="222"/>
      <c r="J109" s="222"/>
      <c r="K109" s="222"/>
      <c r="L109" s="222"/>
      <c r="M109" s="222"/>
      <c r="N109" s="222"/>
      <c r="O109" s="232" t="s">
        <v>377</v>
      </c>
      <c r="P109" s="340"/>
      <c r="Q109" s="341">
        <v>433.66327480000001</v>
      </c>
      <c r="R109" s="341">
        <v>500.88603199999994</v>
      </c>
      <c r="S109" s="341">
        <v>486.87586800000008</v>
      </c>
      <c r="T109" s="341">
        <v>445.45392800000008</v>
      </c>
      <c r="U109" s="306">
        <v>439.61154320000009</v>
      </c>
      <c r="V109" s="306">
        <v>429.15772000000004</v>
      </c>
      <c r="W109" s="306">
        <v>415.61894400000006</v>
      </c>
      <c r="X109" s="313">
        <v>416.42143481502592</v>
      </c>
      <c r="Z109" s="222"/>
      <c r="AA109" s="222"/>
      <c r="AB109" s="222"/>
      <c r="AC109" s="222"/>
      <c r="AD109" s="222"/>
      <c r="AE109" s="222"/>
      <c r="AF109" s="222"/>
      <c r="AG109" s="222"/>
    </row>
    <row r="110" spans="2:35" x14ac:dyDescent="0.25">
      <c r="B110" s="265"/>
      <c r="C110" s="222"/>
      <c r="D110" s="222"/>
      <c r="E110" s="222"/>
      <c r="F110" s="222"/>
      <c r="G110" s="222"/>
      <c r="H110" s="222"/>
      <c r="I110" s="222"/>
      <c r="J110" s="222"/>
      <c r="K110" s="222"/>
      <c r="L110" s="222"/>
      <c r="M110" s="222"/>
      <c r="N110" s="222"/>
      <c r="O110" s="302" t="s">
        <v>378</v>
      </c>
      <c r="P110" s="211"/>
      <c r="Q110" s="306"/>
      <c r="R110" s="306"/>
      <c r="S110" s="306"/>
      <c r="T110" s="306"/>
      <c r="U110" s="306"/>
      <c r="V110" s="306"/>
      <c r="W110" s="306"/>
      <c r="X110" s="314"/>
      <c r="Z110" s="222"/>
      <c r="AA110" s="222"/>
      <c r="AB110" s="222"/>
      <c r="AC110" s="222"/>
      <c r="AD110" s="222"/>
      <c r="AE110" s="222"/>
      <c r="AF110" s="222"/>
      <c r="AG110" s="222"/>
    </row>
    <row r="111" spans="2:35" x14ac:dyDescent="0.25">
      <c r="B111" s="265"/>
      <c r="C111" s="222"/>
      <c r="D111" s="222"/>
      <c r="E111" s="222"/>
      <c r="F111" s="222"/>
      <c r="G111" s="222"/>
      <c r="H111" s="222"/>
      <c r="I111" s="222"/>
      <c r="J111" s="222"/>
      <c r="K111" s="222"/>
      <c r="L111" s="222"/>
      <c r="M111" s="222"/>
      <c r="N111" s="222"/>
      <c r="O111" s="246" t="s">
        <v>152</v>
      </c>
      <c r="P111" s="49"/>
      <c r="Q111" s="306">
        <v>15</v>
      </c>
      <c r="R111" s="306">
        <v>11.2</v>
      </c>
      <c r="S111" s="306">
        <v>7.5</v>
      </c>
      <c r="T111" s="306">
        <v>6.2</v>
      </c>
      <c r="U111" s="306">
        <v>0</v>
      </c>
      <c r="V111" s="306">
        <v>0</v>
      </c>
      <c r="W111" s="306">
        <v>0</v>
      </c>
      <c r="X111" s="314">
        <v>0</v>
      </c>
      <c r="Z111" s="222"/>
      <c r="AA111" s="222"/>
      <c r="AB111" s="222"/>
      <c r="AC111" s="222"/>
      <c r="AD111" s="222"/>
      <c r="AE111" s="222"/>
      <c r="AF111" s="222"/>
      <c r="AG111" s="222"/>
    </row>
    <row r="112" spans="2:35" x14ac:dyDescent="0.25">
      <c r="B112" s="265"/>
      <c r="C112" s="222"/>
      <c r="D112" s="222"/>
      <c r="E112" s="222"/>
      <c r="F112" s="222"/>
      <c r="G112" s="222"/>
      <c r="H112" s="222"/>
      <c r="I112" s="222"/>
      <c r="J112" s="222"/>
      <c r="K112" s="222"/>
      <c r="L112" s="222"/>
      <c r="M112" s="222"/>
      <c r="N112" s="222"/>
      <c r="O112" s="246" t="s">
        <v>343</v>
      </c>
      <c r="P112" s="49"/>
      <c r="Q112" s="306">
        <v>9.6666666666666661</v>
      </c>
      <c r="R112" s="306">
        <v>9.6666666666666661</v>
      </c>
      <c r="S112" s="306">
        <v>9.6666666666666661</v>
      </c>
      <c r="T112" s="306">
        <v>9.6666666666666661</v>
      </c>
      <c r="U112" s="306">
        <v>9.6666666666666661</v>
      </c>
      <c r="V112" s="306">
        <v>9.6666666666666661</v>
      </c>
      <c r="W112" s="306">
        <v>9.6666666666666661</v>
      </c>
      <c r="X112" s="314">
        <v>9.6666666666666661</v>
      </c>
      <c r="Z112" s="222"/>
      <c r="AA112" s="222"/>
      <c r="AB112" s="222"/>
      <c r="AC112" s="222"/>
      <c r="AD112" s="222"/>
      <c r="AE112" s="222"/>
      <c r="AF112" s="222"/>
      <c r="AG112" s="222"/>
    </row>
    <row r="113" spans="2:33" x14ac:dyDescent="0.25">
      <c r="B113" s="265"/>
      <c r="C113" s="222"/>
      <c r="D113" s="222"/>
      <c r="E113" s="222"/>
      <c r="F113" s="222"/>
      <c r="G113" s="222"/>
      <c r="H113" s="222"/>
      <c r="I113" s="222"/>
      <c r="J113" s="222"/>
      <c r="K113" s="222"/>
      <c r="L113" s="222"/>
      <c r="M113" s="222"/>
      <c r="N113" s="222"/>
      <c r="O113" s="246" t="s">
        <v>379</v>
      </c>
      <c r="P113" s="49"/>
      <c r="Q113" s="306">
        <v>12</v>
      </c>
      <c r="R113" s="306">
        <v>12</v>
      </c>
      <c r="S113" s="306">
        <v>12</v>
      </c>
      <c r="T113" s="306">
        <v>12</v>
      </c>
      <c r="U113" s="306">
        <v>12</v>
      </c>
      <c r="V113" s="306">
        <v>12</v>
      </c>
      <c r="W113" s="306">
        <v>12</v>
      </c>
      <c r="X113" s="314">
        <v>12</v>
      </c>
      <c r="Z113" s="222"/>
      <c r="AA113" s="222"/>
      <c r="AB113" s="222"/>
      <c r="AC113" s="222"/>
      <c r="AD113" s="222"/>
      <c r="AE113" s="222"/>
      <c r="AF113" s="222"/>
      <c r="AG113" s="222"/>
    </row>
    <row r="114" spans="2:33" x14ac:dyDescent="0.25">
      <c r="B114" s="265"/>
      <c r="C114" s="222"/>
      <c r="D114" s="222"/>
      <c r="E114" s="222"/>
      <c r="F114" s="222"/>
      <c r="G114" s="222"/>
      <c r="H114" s="222"/>
      <c r="I114" s="222"/>
      <c r="J114" s="222"/>
      <c r="K114" s="222"/>
      <c r="L114" s="222"/>
      <c r="M114" s="222"/>
      <c r="N114" s="222"/>
      <c r="O114" s="246" t="s">
        <v>380</v>
      </c>
      <c r="P114" s="49"/>
      <c r="Q114" s="52">
        <v>248.60033333333331</v>
      </c>
      <c r="R114" s="52">
        <v>262.76933333333329</v>
      </c>
      <c r="S114" s="52">
        <v>260.1133333333334</v>
      </c>
      <c r="T114" s="52">
        <v>222.98033333333342</v>
      </c>
      <c r="U114" s="336">
        <v>236.8250000000001</v>
      </c>
      <c r="V114" s="52">
        <v>227.57700000000006</v>
      </c>
      <c r="W114" s="52">
        <v>220.74100000000004</v>
      </c>
      <c r="X114" s="315">
        <v>222.91605081502598</v>
      </c>
      <c r="Z114" s="222"/>
      <c r="AA114" s="222"/>
      <c r="AB114" s="222"/>
      <c r="AC114" s="222"/>
      <c r="AD114" s="222"/>
      <c r="AE114" s="222"/>
      <c r="AF114" s="222"/>
      <c r="AG114" s="222"/>
    </row>
    <row r="115" spans="2:33" x14ac:dyDescent="0.25">
      <c r="B115" s="265"/>
      <c r="C115" s="222"/>
      <c r="D115" s="222"/>
      <c r="E115" s="222"/>
      <c r="F115" s="222"/>
      <c r="G115" s="222"/>
      <c r="H115" s="222"/>
      <c r="I115" s="222"/>
      <c r="J115" s="222"/>
      <c r="K115" s="222"/>
      <c r="L115" s="222"/>
      <c r="M115" s="222"/>
      <c r="N115" s="222"/>
      <c r="O115" s="246" t="s">
        <v>1190</v>
      </c>
      <c r="P115" s="49"/>
      <c r="Q115" s="52"/>
      <c r="R115" s="52"/>
      <c r="S115" s="308">
        <v>0</v>
      </c>
      <c r="T115" s="308">
        <v>6.8000000000000005E-2</v>
      </c>
      <c r="U115" s="308">
        <v>6.8000000000000005E-2</v>
      </c>
      <c r="V115" s="308">
        <v>6.8000000000000005E-2</v>
      </c>
      <c r="W115" s="308">
        <v>6.8000000000000005E-2</v>
      </c>
      <c r="X115" s="331">
        <v>1.363</v>
      </c>
      <c r="Z115" s="222"/>
      <c r="AA115" s="222"/>
      <c r="AB115" s="222"/>
      <c r="AC115" s="222"/>
      <c r="AD115" s="222"/>
      <c r="AE115" s="222"/>
      <c r="AF115" s="222"/>
      <c r="AG115" s="222"/>
    </row>
    <row r="116" spans="2:33" x14ac:dyDescent="0.25">
      <c r="B116" s="265"/>
      <c r="C116" s="222"/>
      <c r="D116" s="222"/>
      <c r="E116" s="222"/>
      <c r="F116" s="222"/>
      <c r="G116" s="222"/>
      <c r="H116" s="222"/>
      <c r="I116" s="222"/>
      <c r="J116" s="222"/>
      <c r="K116" s="222"/>
      <c r="L116" s="222"/>
      <c r="M116" s="222"/>
      <c r="N116" s="222"/>
      <c r="O116" s="303" t="s">
        <v>381</v>
      </c>
      <c r="P116" s="49"/>
      <c r="Q116" s="306"/>
      <c r="R116" s="306"/>
      <c r="S116" s="306"/>
      <c r="T116" s="306"/>
      <c r="U116" s="306"/>
      <c r="V116" s="306"/>
      <c r="W116" s="314"/>
      <c r="X116" s="314"/>
      <c r="Z116" s="222"/>
      <c r="AA116" s="222"/>
      <c r="AB116" s="222"/>
      <c r="AC116" s="222"/>
      <c r="AD116" s="222"/>
      <c r="AE116" s="222"/>
      <c r="AF116" s="222"/>
      <c r="AG116" s="222"/>
    </row>
    <row r="117" spans="2:33" x14ac:dyDescent="0.25">
      <c r="B117" s="265"/>
      <c r="C117" s="222"/>
      <c r="D117" s="222"/>
      <c r="E117" s="222"/>
      <c r="F117" s="222"/>
      <c r="G117" s="222"/>
      <c r="H117" s="222"/>
      <c r="I117" s="222"/>
      <c r="J117" s="222"/>
      <c r="K117" s="222"/>
      <c r="L117" s="222"/>
      <c r="M117" s="222"/>
      <c r="N117" s="222"/>
      <c r="O117" s="246" t="s">
        <v>150</v>
      </c>
      <c r="P117" s="49"/>
      <c r="Q117" s="306">
        <v>72.400000000000006</v>
      </c>
      <c r="R117" s="306">
        <v>85.9</v>
      </c>
      <c r="S117" s="342">
        <v>68.3</v>
      </c>
      <c r="T117" s="342">
        <v>64</v>
      </c>
      <c r="U117" s="342">
        <v>60.929333333333297</v>
      </c>
      <c r="V117" s="342">
        <v>60.929333333333297</v>
      </c>
      <c r="W117" s="342">
        <v>60.929333333333297</v>
      </c>
      <c r="X117" s="314">
        <v>63.261773333333302</v>
      </c>
      <c r="Z117" s="222"/>
      <c r="AA117" s="222"/>
      <c r="AB117" s="222"/>
      <c r="AC117" s="222"/>
      <c r="AD117" s="222"/>
      <c r="AE117" s="222"/>
      <c r="AF117" s="222"/>
      <c r="AG117" s="222"/>
    </row>
    <row r="118" spans="2:33" x14ac:dyDescent="0.25">
      <c r="B118" s="265"/>
      <c r="C118" s="222"/>
      <c r="D118" s="222"/>
      <c r="E118" s="222"/>
      <c r="F118" s="222"/>
      <c r="G118" s="222"/>
      <c r="H118" s="222"/>
      <c r="I118" s="222"/>
      <c r="J118" s="222"/>
      <c r="K118" s="222"/>
      <c r="L118" s="222"/>
      <c r="M118" s="222"/>
      <c r="N118" s="222"/>
      <c r="O118" s="246" t="s">
        <v>149</v>
      </c>
      <c r="P118" s="52"/>
      <c r="Q118" s="306">
        <v>50</v>
      </c>
      <c r="R118" s="306">
        <v>50</v>
      </c>
      <c r="S118" s="306">
        <v>50</v>
      </c>
      <c r="T118" s="306">
        <v>50</v>
      </c>
      <c r="U118" s="337">
        <v>40</v>
      </c>
      <c r="V118" s="306">
        <v>30</v>
      </c>
      <c r="W118" s="306">
        <v>20</v>
      </c>
      <c r="X118" s="314">
        <v>15</v>
      </c>
      <c r="Z118" s="222"/>
      <c r="AA118" s="222"/>
      <c r="AB118" s="222"/>
      <c r="AC118" s="222"/>
      <c r="AD118" s="222"/>
      <c r="AE118" s="222"/>
      <c r="AF118" s="222"/>
      <c r="AG118" s="222"/>
    </row>
    <row r="119" spans="2:33" x14ac:dyDescent="0.25">
      <c r="B119" s="265"/>
      <c r="C119" s="222"/>
      <c r="D119" s="222"/>
      <c r="E119" s="222"/>
      <c r="F119" s="222"/>
      <c r="G119" s="222"/>
      <c r="H119" s="222"/>
      <c r="I119" s="222"/>
      <c r="J119" s="222"/>
      <c r="K119" s="222"/>
      <c r="L119" s="222"/>
      <c r="M119" s="222"/>
      <c r="N119" s="222"/>
      <c r="O119" s="304" t="s">
        <v>382</v>
      </c>
      <c r="P119" s="377"/>
      <c r="Q119" s="306">
        <v>50.996274799999995</v>
      </c>
      <c r="R119" s="306">
        <v>69.350031999999999</v>
      </c>
      <c r="S119" s="306">
        <v>79.295867999999999</v>
      </c>
      <c r="T119" s="306">
        <v>80.538927999999999</v>
      </c>
      <c r="U119" s="306">
        <v>80.122543199999996</v>
      </c>
      <c r="V119" s="306">
        <v>88.916719999999998</v>
      </c>
      <c r="W119" s="307">
        <v>92.213943999999998</v>
      </c>
      <c r="X119" s="403">
        <v>92.213943999999998</v>
      </c>
      <c r="Z119" s="222"/>
      <c r="AA119" s="222"/>
      <c r="AB119" s="222"/>
      <c r="AC119" s="222"/>
      <c r="AD119" s="222"/>
      <c r="AE119" s="222"/>
      <c r="AF119" s="222"/>
      <c r="AG119" s="222"/>
    </row>
    <row r="120" spans="2:33" x14ac:dyDescent="0.25">
      <c r="B120" s="265"/>
      <c r="C120" s="222"/>
      <c r="D120" s="222"/>
      <c r="E120" s="222"/>
      <c r="F120" s="222"/>
      <c r="G120" s="222"/>
      <c r="H120" s="222"/>
      <c r="I120" s="222"/>
      <c r="J120" s="222"/>
      <c r="K120" s="222"/>
      <c r="L120" s="222"/>
      <c r="M120" s="222"/>
      <c r="N120" s="222"/>
      <c r="O120" s="424" t="s">
        <v>832</v>
      </c>
      <c r="P120" s="371"/>
      <c r="Q120" s="371">
        <v>-25</v>
      </c>
      <c r="R120" s="371"/>
      <c r="S120" s="371"/>
      <c r="T120" s="371"/>
      <c r="U120" s="419"/>
      <c r="V120" s="345"/>
      <c r="W120" s="371"/>
      <c r="X120" s="371"/>
      <c r="Z120" s="222"/>
      <c r="AA120" s="222"/>
      <c r="AB120" s="222"/>
      <c r="AC120" s="222"/>
      <c r="AD120" s="222"/>
      <c r="AE120" s="222"/>
      <c r="AF120" s="222"/>
      <c r="AG120" s="222"/>
    </row>
    <row r="121" spans="2:33" x14ac:dyDescent="0.25">
      <c r="B121" s="265"/>
      <c r="C121" s="222"/>
      <c r="D121" s="222"/>
      <c r="E121" s="222"/>
      <c r="F121" s="222"/>
      <c r="G121" s="222"/>
      <c r="H121" s="222"/>
      <c r="I121" s="222"/>
      <c r="J121" s="222"/>
      <c r="K121" s="222"/>
      <c r="L121" s="222"/>
      <c r="M121" s="222"/>
      <c r="N121" s="222"/>
      <c r="O121" s="222"/>
      <c r="P121" s="222"/>
      <c r="Q121" s="222"/>
      <c r="R121" s="222"/>
      <c r="S121" s="222"/>
      <c r="T121" s="222"/>
      <c r="U121" s="222"/>
      <c r="V121" s="222"/>
      <c r="W121" s="222"/>
      <c r="X121" s="222"/>
      <c r="Y121" s="222"/>
      <c r="Z121" s="222"/>
      <c r="AA121" s="222"/>
      <c r="AB121" s="222"/>
      <c r="AC121" s="222"/>
      <c r="AD121" s="222"/>
      <c r="AE121" s="222"/>
      <c r="AF121" s="222"/>
      <c r="AG121" s="222"/>
    </row>
    <row r="122" spans="2:33" x14ac:dyDescent="0.25">
      <c r="B122" s="265"/>
      <c r="C122" s="222"/>
      <c r="D122" s="222"/>
      <c r="E122" s="222"/>
      <c r="F122" s="222"/>
      <c r="G122" s="222"/>
      <c r="H122" s="222"/>
      <c r="I122" s="222"/>
      <c r="J122" s="222"/>
      <c r="K122" s="222"/>
      <c r="L122" s="222"/>
      <c r="M122" s="222"/>
      <c r="N122" s="222"/>
      <c r="O122" s="222"/>
      <c r="P122" s="222"/>
      <c r="Q122" s="222"/>
      <c r="R122" s="222"/>
      <c r="S122" s="222"/>
      <c r="T122" s="222"/>
      <c r="U122" s="222"/>
      <c r="V122" s="222"/>
      <c r="W122" s="222"/>
      <c r="X122" s="222"/>
      <c r="Y122" s="222"/>
      <c r="Z122" s="222"/>
      <c r="AA122" s="222"/>
      <c r="AB122" s="222"/>
      <c r="AC122" s="222"/>
      <c r="AD122" s="222"/>
      <c r="AE122" s="222"/>
      <c r="AF122" s="222"/>
      <c r="AG122" s="222"/>
    </row>
    <row r="123" spans="2:33" x14ac:dyDescent="0.25">
      <c r="B123" s="265"/>
      <c r="C123" s="222"/>
      <c r="D123" s="222"/>
      <c r="E123" s="222"/>
      <c r="F123" s="222"/>
      <c r="G123" s="222"/>
      <c r="H123" s="222"/>
      <c r="I123" s="222"/>
      <c r="J123" s="222"/>
      <c r="K123" s="222"/>
      <c r="L123" s="222"/>
      <c r="M123" s="222"/>
      <c r="N123" s="222"/>
      <c r="O123" s="222"/>
      <c r="P123" s="222"/>
      <c r="Q123" s="222"/>
      <c r="R123" s="222"/>
      <c r="S123" s="222"/>
      <c r="T123" s="222"/>
      <c r="U123" s="222"/>
      <c r="V123" s="222"/>
      <c r="W123" s="222"/>
      <c r="X123" s="222"/>
      <c r="Y123" s="222"/>
      <c r="Z123" s="222"/>
      <c r="AA123" s="222"/>
      <c r="AB123" s="222"/>
      <c r="AC123" s="222"/>
      <c r="AD123" s="222"/>
      <c r="AE123" s="222"/>
      <c r="AF123" s="222"/>
      <c r="AG123" s="222"/>
    </row>
    <row r="124" spans="2:33" x14ac:dyDescent="0.25">
      <c r="B124" s="265"/>
      <c r="C124" s="222"/>
      <c r="D124" s="222"/>
      <c r="E124" s="222"/>
      <c r="F124" s="222"/>
      <c r="G124" s="222"/>
      <c r="H124" s="222"/>
      <c r="I124" s="222"/>
      <c r="J124" s="222"/>
      <c r="K124" s="222"/>
      <c r="L124" s="222"/>
      <c r="M124" s="222"/>
      <c r="N124" s="222"/>
      <c r="O124" s="222"/>
      <c r="P124" s="222"/>
      <c r="Q124" s="222"/>
      <c r="R124" s="222"/>
      <c r="S124" s="222"/>
      <c r="T124" s="222"/>
      <c r="U124" s="222"/>
      <c r="V124" s="222"/>
      <c r="W124" s="222"/>
      <c r="X124" s="222"/>
      <c r="Y124" s="222"/>
      <c r="Z124" s="222"/>
      <c r="AA124" s="222"/>
      <c r="AB124" s="222"/>
      <c r="AC124" s="222"/>
      <c r="AD124" s="222"/>
      <c r="AE124" s="222"/>
      <c r="AF124" s="222"/>
      <c r="AG124" s="222"/>
    </row>
    <row r="125" spans="2:33" x14ac:dyDescent="0.25">
      <c r="B125" s="265"/>
      <c r="C125" s="222"/>
      <c r="D125" s="222"/>
      <c r="E125" s="222"/>
      <c r="F125" s="222"/>
      <c r="G125" s="222"/>
      <c r="H125" s="222"/>
      <c r="I125" s="222"/>
      <c r="J125" s="222"/>
      <c r="K125" s="222"/>
      <c r="L125" s="222"/>
      <c r="M125" s="222"/>
      <c r="N125" s="222"/>
      <c r="O125" s="222"/>
      <c r="P125" s="222"/>
      <c r="Q125" s="222"/>
      <c r="R125" s="222"/>
      <c r="S125" s="222"/>
      <c r="T125" s="222"/>
      <c r="U125" s="222"/>
      <c r="V125" s="222"/>
      <c r="W125" s="222"/>
      <c r="X125" s="222"/>
      <c r="Y125" s="222"/>
      <c r="Z125" s="222"/>
      <c r="AA125" s="222"/>
      <c r="AB125" s="222"/>
      <c r="AC125" s="222"/>
      <c r="AD125" s="222"/>
      <c r="AE125" s="222"/>
      <c r="AF125" s="222"/>
      <c r="AG125" s="222"/>
    </row>
    <row r="126" spans="2:33" x14ac:dyDescent="0.25">
      <c r="B126" s="265"/>
      <c r="C126" s="222"/>
      <c r="D126" s="222"/>
      <c r="E126" s="222"/>
      <c r="F126" s="222"/>
      <c r="G126" s="222"/>
      <c r="H126" s="222"/>
      <c r="I126" s="222"/>
      <c r="J126" s="222"/>
      <c r="K126" s="222"/>
      <c r="L126" s="222"/>
      <c r="M126" s="222"/>
      <c r="N126" s="222"/>
      <c r="O126" s="222"/>
      <c r="P126" s="222"/>
      <c r="Q126" s="222"/>
      <c r="R126" s="222"/>
      <c r="S126" s="222"/>
      <c r="T126" s="222"/>
      <c r="U126" s="222"/>
      <c r="V126" s="222"/>
      <c r="W126" s="222"/>
      <c r="X126" s="222"/>
      <c r="Y126" s="222"/>
      <c r="Z126" s="222"/>
      <c r="AA126" s="222"/>
      <c r="AB126" s="222"/>
      <c r="AC126" s="222"/>
      <c r="AD126" s="222"/>
      <c r="AE126" s="222"/>
      <c r="AF126" s="222"/>
      <c r="AG126" s="222"/>
    </row>
    <row r="127" spans="2:33" x14ac:dyDescent="0.25">
      <c r="B127" s="265"/>
      <c r="C127" s="222"/>
      <c r="D127" s="222"/>
      <c r="E127" s="222"/>
      <c r="F127" s="222"/>
      <c r="G127" s="222"/>
      <c r="H127" s="222"/>
      <c r="I127" s="222"/>
      <c r="J127" s="222"/>
      <c r="K127" s="222"/>
      <c r="L127" s="222"/>
      <c r="M127" s="222"/>
      <c r="N127" s="222"/>
      <c r="O127" s="222"/>
      <c r="P127" s="222"/>
      <c r="Q127" s="222"/>
      <c r="R127" s="222"/>
      <c r="S127" s="222"/>
      <c r="T127" s="222"/>
      <c r="U127" s="222"/>
      <c r="V127" s="222"/>
      <c r="W127" s="222"/>
      <c r="X127" s="222"/>
      <c r="Y127" s="222"/>
      <c r="Z127" s="222"/>
      <c r="AA127" s="222"/>
      <c r="AB127" s="222"/>
      <c r="AC127" s="222"/>
      <c r="AD127" s="222"/>
      <c r="AE127" s="222"/>
      <c r="AF127" s="222"/>
      <c r="AG127" s="222"/>
    </row>
    <row r="128" spans="2:33" x14ac:dyDescent="0.25">
      <c r="B128" s="265"/>
      <c r="C128" s="222"/>
      <c r="D128" s="222"/>
      <c r="E128" s="222"/>
      <c r="F128" s="222"/>
      <c r="G128" s="222"/>
      <c r="H128" s="222"/>
      <c r="I128" s="222"/>
      <c r="J128" s="222"/>
      <c r="K128" s="222"/>
      <c r="L128" s="222"/>
      <c r="M128" s="222"/>
      <c r="N128" s="222"/>
      <c r="O128" s="222"/>
      <c r="P128" s="222"/>
      <c r="Q128" s="222"/>
      <c r="R128" s="222"/>
      <c r="S128" s="222"/>
      <c r="T128" s="222"/>
      <c r="U128" s="222"/>
      <c r="V128" s="222"/>
      <c r="W128" s="222"/>
      <c r="X128" s="222"/>
      <c r="Y128" s="222"/>
      <c r="Z128" s="222"/>
      <c r="AA128" s="222"/>
      <c r="AB128" s="222"/>
      <c r="AC128" s="222"/>
      <c r="AD128" s="222"/>
      <c r="AE128" s="222"/>
      <c r="AF128" s="222"/>
      <c r="AG128" s="222"/>
    </row>
    <row r="129" spans="2:35" ht="14.45" customHeight="1" x14ac:dyDescent="0.25">
      <c r="B129" s="265"/>
      <c r="C129" s="222"/>
      <c r="D129" s="222"/>
      <c r="E129" s="222"/>
      <c r="F129" s="222"/>
      <c r="G129" s="222"/>
      <c r="H129" s="222"/>
      <c r="I129" s="222"/>
      <c r="J129" s="222"/>
      <c r="K129" s="222"/>
      <c r="L129" s="222"/>
      <c r="M129" s="222"/>
      <c r="N129" s="222"/>
      <c r="O129" s="222"/>
      <c r="P129" s="222"/>
      <c r="Q129" s="222"/>
      <c r="R129" s="222"/>
      <c r="S129" s="222"/>
      <c r="T129" s="222"/>
      <c r="U129" s="222"/>
      <c r="V129" s="222"/>
      <c r="W129" s="222"/>
      <c r="X129" s="222"/>
      <c r="Y129" s="222"/>
      <c r="Z129" s="222"/>
      <c r="AA129" s="222"/>
      <c r="AB129" s="222"/>
      <c r="AC129" s="222"/>
      <c r="AD129" s="222"/>
      <c r="AE129" s="222"/>
      <c r="AF129" s="222"/>
      <c r="AG129" s="222"/>
    </row>
    <row r="130" spans="2:35" x14ac:dyDescent="0.25">
      <c r="B130" s="1357" t="s">
        <v>134</v>
      </c>
      <c r="C130" s="1357"/>
      <c r="D130" s="1357"/>
      <c r="E130" s="1357"/>
      <c r="F130" s="1357"/>
      <c r="G130" s="1357"/>
      <c r="H130" s="1357"/>
      <c r="I130" s="1357"/>
      <c r="J130" s="1357"/>
      <c r="K130" s="1357"/>
      <c r="L130" s="1357"/>
      <c r="M130" s="1357"/>
      <c r="N130" s="1357"/>
      <c r="O130" s="1357"/>
      <c r="P130" s="1357"/>
      <c r="Q130" s="1357"/>
      <c r="R130" s="1357"/>
      <c r="S130" s="1357"/>
      <c r="T130" s="1357"/>
      <c r="U130" s="1357"/>
      <c r="V130" s="1357"/>
      <c r="W130" s="1357"/>
      <c r="X130" s="1357"/>
      <c r="Y130" s="1357"/>
      <c r="Z130" s="193"/>
      <c r="AA130" s="193"/>
      <c r="AB130" s="193"/>
      <c r="AC130" s="193"/>
      <c r="AD130" s="193"/>
      <c r="AE130" s="193"/>
      <c r="AF130" s="193"/>
      <c r="AG130" s="193"/>
      <c r="AH130" s="182"/>
      <c r="AI130" s="182"/>
    </row>
    <row r="131" spans="2:35" ht="19.350000000000001" customHeight="1" x14ac:dyDescent="0.25">
      <c r="B131" s="1358" t="s">
        <v>1843</v>
      </c>
      <c r="C131" s="1358"/>
      <c r="D131" s="1358"/>
      <c r="E131" s="1358"/>
      <c r="F131" s="1358"/>
      <c r="G131" s="1358"/>
      <c r="H131" s="1358"/>
      <c r="I131" s="1358"/>
      <c r="J131" s="1358"/>
      <c r="K131" s="1358"/>
      <c r="L131" s="1358"/>
      <c r="M131" s="1358"/>
      <c r="N131" s="1358"/>
      <c r="O131" s="1358"/>
      <c r="P131" s="1358"/>
      <c r="Q131" s="1358"/>
      <c r="R131" s="1358"/>
      <c r="S131" s="1358"/>
      <c r="T131" s="1358"/>
      <c r="U131" s="1358"/>
      <c r="V131" s="1358"/>
      <c r="W131" s="1358"/>
      <c r="X131" s="1358"/>
      <c r="Y131" s="1358"/>
      <c r="Z131" s="1358"/>
      <c r="AA131" s="1358"/>
      <c r="AB131" s="1358"/>
      <c r="AC131" s="1358"/>
      <c r="AD131" s="194"/>
      <c r="AE131" s="194"/>
      <c r="AF131" s="194"/>
      <c r="AG131" s="194"/>
      <c r="AH131" s="194"/>
      <c r="AI131" s="194"/>
    </row>
    <row r="132" spans="2:35" ht="11.85" customHeight="1" x14ac:dyDescent="0.25">
      <c r="B132" s="229"/>
      <c r="C132" s="229"/>
      <c r="D132" s="229"/>
      <c r="E132" s="229"/>
      <c r="F132" s="229"/>
      <c r="G132" s="229"/>
      <c r="H132" s="229"/>
      <c r="I132" s="229"/>
      <c r="J132" s="229"/>
      <c r="K132" s="229"/>
      <c r="L132" s="229"/>
      <c r="M132" s="229"/>
      <c r="V132" s="216"/>
      <c r="W132" s="216"/>
      <c r="X132" s="216"/>
      <c r="Y132" s="216"/>
      <c r="Z132" s="216"/>
      <c r="AA132" s="216"/>
      <c r="AB132" s="216"/>
      <c r="AC132" s="216"/>
      <c r="AD132" s="216"/>
      <c r="AE132" s="216"/>
      <c r="AF132" s="216"/>
      <c r="AG132" s="216"/>
      <c r="AH132" s="216"/>
      <c r="AI132" s="216"/>
    </row>
    <row r="133" spans="2:35" ht="14.85" customHeight="1" x14ac:dyDescent="0.25">
      <c r="B133" s="1362" t="s">
        <v>279</v>
      </c>
      <c r="C133" s="1363"/>
      <c r="D133" s="1366" t="s">
        <v>280</v>
      </c>
      <c r="E133" s="1379"/>
      <c r="F133" s="1379"/>
      <c r="G133" s="1379"/>
      <c r="H133" s="1379"/>
      <c r="I133" s="1379"/>
      <c r="J133" s="1379"/>
      <c r="K133" s="1379"/>
      <c r="L133" s="1379"/>
      <c r="M133" s="1379"/>
      <c r="N133" s="1379"/>
      <c r="O133" s="1379"/>
      <c r="P133" s="1379"/>
      <c r="Q133" s="1379"/>
      <c r="R133" s="1379"/>
      <c r="S133" s="1379"/>
      <c r="T133" s="1379"/>
      <c r="U133" s="1380"/>
      <c r="V133" s="1365"/>
      <c r="W133" s="1392" t="s">
        <v>281</v>
      </c>
      <c r="X133" s="1393"/>
      <c r="Y133" s="1391"/>
      <c r="Z133" s="1391"/>
      <c r="AA133" s="1391"/>
      <c r="AB133" s="1391"/>
      <c r="AC133" s="1391"/>
      <c r="AD133" s="1391"/>
      <c r="AE133" s="1391"/>
      <c r="AF133" s="1391"/>
      <c r="AG133" s="1391"/>
      <c r="AH133" s="182"/>
      <c r="AI133" s="182"/>
    </row>
    <row r="134" spans="2:35" x14ac:dyDescent="0.25">
      <c r="B134" s="1364"/>
      <c r="C134" s="1365"/>
      <c r="D134" s="201">
        <v>2018</v>
      </c>
      <c r="E134" s="1371">
        <v>2019</v>
      </c>
      <c r="F134" s="1372"/>
      <c r="G134" s="1372"/>
      <c r="H134" s="1373"/>
      <c r="I134" s="1371">
        <v>2020</v>
      </c>
      <c r="J134" s="1372"/>
      <c r="K134" s="1372"/>
      <c r="L134" s="1372"/>
      <c r="M134" s="1371">
        <v>2021</v>
      </c>
      <c r="N134" s="1372"/>
      <c r="O134" s="1372"/>
      <c r="P134" s="1372"/>
      <c r="Q134" s="1371">
        <v>2022</v>
      </c>
      <c r="R134" s="1403"/>
      <c r="S134" s="1403"/>
      <c r="T134" s="1403"/>
      <c r="U134" s="221"/>
      <c r="V134" s="270">
        <v>2023</v>
      </c>
      <c r="W134" s="272"/>
      <c r="X134" s="242"/>
      <c r="Y134" s="1369">
        <v>2024</v>
      </c>
      <c r="Z134" s="1381"/>
      <c r="AA134" s="1381"/>
      <c r="AB134" s="1369"/>
      <c r="AC134" s="1368">
        <v>2025</v>
      </c>
      <c r="AD134" s="1369"/>
      <c r="AE134" s="1369"/>
      <c r="AF134" s="1370"/>
      <c r="AG134" s="327">
        <v>2026</v>
      </c>
      <c r="AH134" s="216"/>
      <c r="AI134" s="216"/>
    </row>
    <row r="135" spans="2:35" x14ac:dyDescent="0.25">
      <c r="B135" s="1364"/>
      <c r="C135" s="1365"/>
      <c r="D135" s="196" t="s">
        <v>282</v>
      </c>
      <c r="E135" s="195" t="s">
        <v>283</v>
      </c>
      <c r="F135" s="196" t="s">
        <v>284</v>
      </c>
      <c r="G135" s="196" t="s">
        <v>238</v>
      </c>
      <c r="H135" s="197" t="s">
        <v>282</v>
      </c>
      <c r="I135" s="196" t="s">
        <v>283</v>
      </c>
      <c r="J135" s="196" t="s">
        <v>284</v>
      </c>
      <c r="K135" s="196" t="s">
        <v>238</v>
      </c>
      <c r="L135" s="196" t="s">
        <v>282</v>
      </c>
      <c r="M135" s="195" t="s">
        <v>283</v>
      </c>
      <c r="N135" s="196" t="s">
        <v>284</v>
      </c>
      <c r="O135" s="196" t="s">
        <v>238</v>
      </c>
      <c r="P135" s="196" t="s">
        <v>282</v>
      </c>
      <c r="Q135" s="195" t="s">
        <v>283</v>
      </c>
      <c r="R135" s="196" t="s">
        <v>284</v>
      </c>
      <c r="S135" s="196" t="s">
        <v>238</v>
      </c>
      <c r="T135" s="196" t="s">
        <v>282</v>
      </c>
      <c r="U135" s="195" t="s">
        <v>283</v>
      </c>
      <c r="V135" s="196" t="s">
        <v>284</v>
      </c>
      <c r="W135" s="312" t="s">
        <v>238</v>
      </c>
      <c r="X135" s="420" t="s">
        <v>282</v>
      </c>
      <c r="Y135" s="312" t="s">
        <v>283</v>
      </c>
      <c r="Z135" s="320" t="s">
        <v>284</v>
      </c>
      <c r="AA135" s="312" t="s">
        <v>238</v>
      </c>
      <c r="AB135" s="312" t="s">
        <v>282</v>
      </c>
      <c r="AC135" s="421" t="s">
        <v>283</v>
      </c>
      <c r="AD135" s="320" t="s">
        <v>284</v>
      </c>
      <c r="AE135" s="312" t="s">
        <v>238</v>
      </c>
      <c r="AF135" s="420" t="s">
        <v>282</v>
      </c>
      <c r="AG135" s="330" t="s">
        <v>283</v>
      </c>
      <c r="AH135" s="216"/>
      <c r="AI135" s="216"/>
    </row>
    <row r="136" spans="2:35" ht="14.85" customHeight="1" x14ac:dyDescent="0.25">
      <c r="B136" s="417" t="s">
        <v>383</v>
      </c>
      <c r="C136" s="356" t="s">
        <v>384</v>
      </c>
      <c r="D136" s="357"/>
      <c r="E136" s="358"/>
      <c r="F136" s="358"/>
      <c r="G136" s="358"/>
      <c r="H136" s="309">
        <f>'Haver Pivoted'!GS41</f>
        <v>72.156000000000006</v>
      </c>
      <c r="I136" s="309">
        <f>'Haver Pivoted'!GT41</f>
        <v>75.245999999999995</v>
      </c>
      <c r="J136" s="309">
        <f>'Haver Pivoted'!GU41</f>
        <v>75.986000000000004</v>
      </c>
      <c r="K136" s="309">
        <f>'Haver Pivoted'!GV41</f>
        <v>79.650999999999996</v>
      </c>
      <c r="L136" s="309">
        <f>'Haver Pivoted'!GW41</f>
        <v>75.400999999999996</v>
      </c>
      <c r="M136" s="309">
        <f>'Haver Pivoted'!GX41</f>
        <v>73.034999999999997</v>
      </c>
      <c r="N136" s="309">
        <f>'Haver Pivoted'!GY41</f>
        <v>75.13</v>
      </c>
      <c r="O136" s="309">
        <f>'Haver Pivoted'!GZ41</f>
        <v>70.191999999999993</v>
      </c>
      <c r="P136" s="309">
        <f>'Haver Pivoted'!HA41</f>
        <v>72.266999999999996</v>
      </c>
      <c r="Q136" s="309">
        <f>'Haver Pivoted'!HB41</f>
        <v>74.974000000000004</v>
      </c>
      <c r="R136" s="309">
        <f t="shared" ref="R136:S136" si="37">AVERAGE($H$136:$N$136)</f>
        <v>75.229285714285723</v>
      </c>
      <c r="S136" s="309">
        <f t="shared" si="37"/>
        <v>75.229285714285723</v>
      </c>
      <c r="T136" s="309">
        <f t="shared" ref="T136:AC136" si="38">AVERAGE($H$136:$N$136)+T137</f>
        <v>76.048285714285726</v>
      </c>
      <c r="U136" s="309">
        <f t="shared" si="38"/>
        <v>76.048285714285726</v>
      </c>
      <c r="V136" s="309">
        <f t="shared" si="38"/>
        <v>76.048285714285726</v>
      </c>
      <c r="W136" s="309">
        <f t="shared" si="38"/>
        <v>76.048285714285726</v>
      </c>
      <c r="X136" s="348">
        <f t="shared" si="38"/>
        <v>77.707285714285717</v>
      </c>
      <c r="Y136" s="348">
        <f t="shared" si="38"/>
        <v>77.707285714285717</v>
      </c>
      <c r="Z136" s="348">
        <f t="shared" si="38"/>
        <v>77.707285714285717</v>
      </c>
      <c r="AA136" s="348">
        <f t="shared" si="38"/>
        <v>77.707285714285717</v>
      </c>
      <c r="AB136" s="348">
        <f t="shared" si="38"/>
        <v>79.301285714285726</v>
      </c>
      <c r="AC136" s="348">
        <f t="shared" si="38"/>
        <v>79.301285714285726</v>
      </c>
      <c r="AD136" s="348">
        <f>AVERAGE($H$136:$N$136)+AD137</f>
        <v>75.229285714285723</v>
      </c>
      <c r="AE136" s="348">
        <f t="shared" ref="AE136:AG136" si="39">AVERAGE($H$136:$N$136)+AE137</f>
        <v>75.229285714285723</v>
      </c>
      <c r="AF136" s="348">
        <f t="shared" si="39"/>
        <v>75.229285714285723</v>
      </c>
      <c r="AG136" s="348">
        <f t="shared" si="39"/>
        <v>75.229285714285723</v>
      </c>
      <c r="AH136" s="209"/>
      <c r="AI136" s="209"/>
    </row>
    <row r="137" spans="2:35" x14ac:dyDescent="0.25">
      <c r="B137" s="305" t="s">
        <v>1189</v>
      </c>
      <c r="C137" s="36"/>
      <c r="D137" s="305"/>
      <c r="E137" s="36"/>
      <c r="F137" s="36"/>
      <c r="G137" s="36"/>
      <c r="H137" s="36"/>
      <c r="I137" s="36"/>
      <c r="J137" s="36"/>
      <c r="K137" s="36"/>
      <c r="L137" s="36"/>
      <c r="M137" s="36"/>
      <c r="N137" s="36"/>
      <c r="O137" s="36"/>
      <c r="P137" s="36"/>
      <c r="Q137" s="36"/>
      <c r="R137" s="36"/>
      <c r="S137" s="310">
        <f>'IRA and CHIPS'!E185</f>
        <v>0</v>
      </c>
      <c r="T137" s="310">
        <f>'IRA and CHIPS'!F185</f>
        <v>0.81899999999999995</v>
      </c>
      <c r="U137" s="310">
        <f>'IRA and CHIPS'!G185</f>
        <v>0.81899999999999995</v>
      </c>
      <c r="V137" s="310">
        <f>'IRA and CHIPS'!H185</f>
        <v>0.81899999999999995</v>
      </c>
      <c r="W137" s="310">
        <f>'IRA and CHIPS'!I185</f>
        <v>0.81899999999999995</v>
      </c>
      <c r="X137" s="347">
        <f>'IRA and CHIPS'!J185</f>
        <v>2.4780000000000002</v>
      </c>
      <c r="Y137" s="347">
        <f>'IRA and CHIPS'!K185</f>
        <v>2.4780000000000002</v>
      </c>
      <c r="Z137" s="347">
        <f>'IRA and CHIPS'!L185</f>
        <v>2.4780000000000002</v>
      </c>
      <c r="AA137" s="347">
        <f>'IRA and CHIPS'!M185</f>
        <v>2.4780000000000002</v>
      </c>
      <c r="AB137" s="347">
        <f>'IRA and CHIPS'!N185</f>
        <v>4.0720000000000001</v>
      </c>
      <c r="AC137" s="347">
        <f>'IRA and CHIPS'!O185</f>
        <v>4.0720000000000001</v>
      </c>
      <c r="AD137" s="347">
        <f>'IRA and CHIPS'!T185</f>
        <v>0</v>
      </c>
      <c r="AE137" s="347">
        <v>0</v>
      </c>
      <c r="AF137" s="347">
        <v>0</v>
      </c>
      <c r="AG137" s="349">
        <v>0</v>
      </c>
    </row>
    <row r="138" spans="2:35" ht="18.75" customHeight="1" x14ac:dyDescent="0.25"/>
    <row r="139" spans="2:35" ht="21.75" customHeight="1" x14ac:dyDescent="0.25"/>
  </sheetData>
  <mergeCells count="42">
    <mergeCell ref="AH6:AH8"/>
    <mergeCell ref="AI6:AI8"/>
    <mergeCell ref="E7:H7"/>
    <mergeCell ref="Y7:AB7"/>
    <mergeCell ref="B2:AC4"/>
    <mergeCell ref="M7:P7"/>
    <mergeCell ref="Q7:T7"/>
    <mergeCell ref="D6:V6"/>
    <mergeCell ref="W6:AG6"/>
    <mergeCell ref="AC7:AF7"/>
    <mergeCell ref="B133:C135"/>
    <mergeCell ref="I134:L134"/>
    <mergeCell ref="E134:H134"/>
    <mergeCell ref="Y134:AB134"/>
    <mergeCell ref="B1:Y1"/>
    <mergeCell ref="B6:C8"/>
    <mergeCell ref="I7:L7"/>
    <mergeCell ref="M134:P134"/>
    <mergeCell ref="Q134:T134"/>
    <mergeCell ref="AI46:AJ46"/>
    <mergeCell ref="AI50:AJ51"/>
    <mergeCell ref="AI56:AJ56"/>
    <mergeCell ref="B45:AC45"/>
    <mergeCell ref="Q94:R94"/>
    <mergeCell ref="Q69:AL69"/>
    <mergeCell ref="Q70:S70"/>
    <mergeCell ref="T70:Y70"/>
    <mergeCell ref="AH70:AK70"/>
    <mergeCell ref="A87:A88"/>
    <mergeCell ref="B131:AC131"/>
    <mergeCell ref="Y94:AB94"/>
    <mergeCell ref="B93:C95"/>
    <mergeCell ref="I94:L94"/>
    <mergeCell ref="B130:Y130"/>
    <mergeCell ref="E94:H94"/>
    <mergeCell ref="M94:P94"/>
    <mergeCell ref="AC94:AF94"/>
    <mergeCell ref="AC134:AF134"/>
    <mergeCell ref="D93:V93"/>
    <mergeCell ref="W93:AG93"/>
    <mergeCell ref="W133:AG133"/>
    <mergeCell ref="D133:V133"/>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K9" activePane="bottomRight" state="frozen"/>
      <selection pane="topRight" activeCell="C1" sqref="C1"/>
      <selection pane="bottomLeft" activeCell="A9" sqref="A9"/>
      <selection pane="bottomRight" activeCell="AB30" sqref="AB30"/>
    </sheetView>
  </sheetViews>
  <sheetFormatPr defaultColWidth="10.8554687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7" max="37" width="14.140625" customWidth="1"/>
    <col min="43" max="43" width="31.85546875" customWidth="1"/>
    <col min="45" max="45" width="10.140625" customWidth="1"/>
  </cols>
  <sheetData>
    <row r="1" spans="2:43" ht="20.25" customHeight="1" x14ac:dyDescent="0.25">
      <c r="B1" s="1357" t="s">
        <v>385</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c r="AD1" s="193"/>
      <c r="AE1" s="193"/>
      <c r="AF1" s="193"/>
      <c r="AG1" s="193"/>
    </row>
    <row r="2" spans="2:43" ht="14.25" customHeight="1" x14ac:dyDescent="0.25">
      <c r="B2" s="1396" t="s">
        <v>386</v>
      </c>
      <c r="C2" s="1396"/>
      <c r="D2" s="1396"/>
      <c r="E2" s="1396"/>
      <c r="F2" s="1396"/>
      <c r="G2" s="1396"/>
      <c r="H2" s="1396"/>
      <c r="I2" s="1396"/>
      <c r="J2" s="1396"/>
      <c r="K2" s="1396"/>
      <c r="L2" s="1396"/>
      <c r="M2" s="1396"/>
      <c r="N2" s="1396"/>
      <c r="O2" s="1396"/>
      <c r="P2" s="1396"/>
      <c r="Q2" s="1396"/>
      <c r="R2" s="1396"/>
      <c r="S2" s="1396"/>
      <c r="T2" s="1396"/>
      <c r="U2" s="1396"/>
      <c r="V2" s="1396"/>
      <c r="W2" s="1396"/>
      <c r="X2" s="1396"/>
      <c r="Y2" s="1396"/>
      <c r="Z2" s="1396"/>
      <c r="AA2" s="1396"/>
      <c r="AB2" s="1396"/>
      <c r="AC2" s="1396"/>
      <c r="AD2" s="229"/>
      <c r="AE2" s="229"/>
      <c r="AF2" s="229"/>
      <c r="AG2" s="229"/>
    </row>
    <row r="3" spans="2:43" ht="9" customHeight="1" x14ac:dyDescent="0.25">
      <c r="B3" s="1396"/>
      <c r="C3" s="1396"/>
      <c r="D3" s="1396"/>
      <c r="E3" s="1396"/>
      <c r="F3" s="1396"/>
      <c r="G3" s="1396"/>
      <c r="H3" s="1396"/>
      <c r="I3" s="1396"/>
      <c r="J3" s="1396"/>
      <c r="K3" s="1396"/>
      <c r="L3" s="1396"/>
      <c r="M3" s="1396"/>
      <c r="N3" s="1396"/>
      <c r="O3" s="1396"/>
      <c r="P3" s="1396"/>
      <c r="Q3" s="1396"/>
      <c r="R3" s="1396"/>
      <c r="S3" s="1396"/>
      <c r="T3" s="1396"/>
      <c r="U3" s="1396"/>
      <c r="V3" s="1396"/>
      <c r="W3" s="1396"/>
      <c r="X3" s="1396"/>
      <c r="Y3" s="1396"/>
      <c r="Z3" s="1396"/>
      <c r="AA3" s="1396"/>
      <c r="AB3" s="1396"/>
      <c r="AC3" s="1396"/>
      <c r="AD3" s="229"/>
      <c r="AE3" s="229"/>
      <c r="AF3" s="229"/>
      <c r="AG3" s="229"/>
    </row>
    <row r="4" spans="2:43" ht="27" customHeight="1" x14ac:dyDescent="0.25">
      <c r="B4" s="1396"/>
      <c r="C4" s="1396"/>
      <c r="D4" s="1396"/>
      <c r="E4" s="1396"/>
      <c r="F4" s="1396"/>
      <c r="G4" s="1396"/>
      <c r="H4" s="1396"/>
      <c r="I4" s="1396"/>
      <c r="J4" s="1396"/>
      <c r="K4" s="1396"/>
      <c r="L4" s="1396"/>
      <c r="M4" s="1396"/>
      <c r="N4" s="1396"/>
      <c r="O4" s="1396"/>
      <c r="P4" s="1396"/>
      <c r="Q4" s="1396"/>
      <c r="R4" s="1396"/>
      <c r="S4" s="1396"/>
      <c r="T4" s="1396"/>
      <c r="U4" s="1396"/>
      <c r="V4" s="1396"/>
      <c r="W4" s="1396"/>
      <c r="X4" s="1396"/>
      <c r="Y4" s="1396"/>
      <c r="Z4" s="1396"/>
      <c r="AA4" s="1396"/>
      <c r="AB4" s="1396"/>
      <c r="AC4" s="1396"/>
      <c r="AD4" s="229"/>
      <c r="AE4" s="229"/>
      <c r="AF4" s="229"/>
      <c r="AG4" s="229"/>
      <c r="AI4" s="481"/>
      <c r="AJ4" s="481"/>
      <c r="AK4" s="481"/>
      <c r="AL4" s="481"/>
      <c r="AM4" s="481"/>
      <c r="AN4" s="481"/>
      <c r="AO4" s="481"/>
      <c r="AP4" s="481"/>
      <c r="AQ4" s="481"/>
    </row>
    <row r="5" spans="2:43" x14ac:dyDescent="0.25">
      <c r="B5" s="265"/>
      <c r="AC5" s="204"/>
      <c r="AD5" s="204"/>
      <c r="AE5" s="204"/>
      <c r="AF5" s="204"/>
      <c r="AG5" s="204"/>
      <c r="AH5" s="204"/>
      <c r="AI5" s="204"/>
      <c r="AJ5" s="204"/>
    </row>
    <row r="6" spans="2:43" ht="14.85" customHeight="1" x14ac:dyDescent="0.25">
      <c r="B6" s="1412" t="s">
        <v>279</v>
      </c>
      <c r="C6" s="1413"/>
      <c r="D6" s="1420" t="s">
        <v>280</v>
      </c>
      <c r="E6" s="1421"/>
      <c r="F6" s="1421"/>
      <c r="G6" s="1421"/>
      <c r="H6" s="1421"/>
      <c r="I6" s="1421"/>
      <c r="J6" s="1421"/>
      <c r="K6" s="1421"/>
      <c r="L6" s="1421"/>
      <c r="M6" s="1421"/>
      <c r="N6" s="1421"/>
      <c r="O6" s="1421"/>
      <c r="P6" s="1421"/>
      <c r="Q6" s="1421"/>
      <c r="R6" s="1421"/>
      <c r="S6" s="1421"/>
      <c r="T6" s="1421"/>
      <c r="U6" s="1422"/>
      <c r="V6" s="1415"/>
      <c r="W6" s="1392" t="s">
        <v>281</v>
      </c>
      <c r="X6" s="1393"/>
      <c r="Y6" s="1391"/>
      <c r="Z6" s="1391"/>
      <c r="AA6" s="1391"/>
      <c r="AB6" s="1391"/>
      <c r="AC6" s="1391"/>
      <c r="AD6" s="1391"/>
      <c r="AE6" s="1391"/>
      <c r="AF6" s="1391"/>
      <c r="AG6" s="1391"/>
    </row>
    <row r="7" spans="2:43" ht="14.85" customHeight="1" x14ac:dyDescent="0.25">
      <c r="B7" s="1414"/>
      <c r="C7" s="1415"/>
      <c r="D7" s="427">
        <v>2018</v>
      </c>
      <c r="E7" s="1416">
        <v>2019</v>
      </c>
      <c r="F7" s="1417"/>
      <c r="G7" s="1417"/>
      <c r="H7" s="1418"/>
      <c r="I7" s="1416">
        <v>2020</v>
      </c>
      <c r="J7" s="1417"/>
      <c r="K7" s="1417"/>
      <c r="L7" s="1417"/>
      <c r="M7" s="1416">
        <v>2021</v>
      </c>
      <c r="N7" s="1417"/>
      <c r="O7" s="1417"/>
      <c r="P7" s="1417"/>
      <c r="Q7" s="1416">
        <v>2022</v>
      </c>
      <c r="R7" s="1419"/>
      <c r="S7" s="1419"/>
      <c r="T7" s="1419"/>
      <c r="U7" s="221"/>
      <c r="V7" s="270">
        <v>2023</v>
      </c>
      <c r="W7" s="272"/>
      <c r="X7" s="242"/>
      <c r="Y7" s="1369">
        <v>2024</v>
      </c>
      <c r="Z7" s="1381"/>
      <c r="AA7" s="1381"/>
      <c r="AB7" s="1370"/>
      <c r="AC7" s="1368">
        <v>2025</v>
      </c>
      <c r="AD7" s="1369"/>
      <c r="AE7" s="1369"/>
      <c r="AF7" s="1369"/>
      <c r="AG7" s="233">
        <v>2026</v>
      </c>
    </row>
    <row r="8" spans="2:43" x14ac:dyDescent="0.25">
      <c r="B8" s="1414"/>
      <c r="C8" s="1415"/>
      <c r="D8" s="467" t="s">
        <v>282</v>
      </c>
      <c r="E8" s="467" t="s">
        <v>283</v>
      </c>
      <c r="F8" s="452" t="s">
        <v>284</v>
      </c>
      <c r="G8" s="452" t="s">
        <v>238</v>
      </c>
      <c r="H8" s="468" t="s">
        <v>282</v>
      </c>
      <c r="I8" s="452" t="s">
        <v>283</v>
      </c>
      <c r="J8" s="452" t="s">
        <v>284</v>
      </c>
      <c r="K8" s="452" t="s">
        <v>238</v>
      </c>
      <c r="L8" s="452" t="s">
        <v>282</v>
      </c>
      <c r="M8" s="467" t="s">
        <v>283</v>
      </c>
      <c r="N8" s="452" t="s">
        <v>284</v>
      </c>
      <c r="O8" s="452" t="s">
        <v>238</v>
      </c>
      <c r="P8" s="452" t="s">
        <v>282</v>
      </c>
      <c r="Q8" s="467" t="s">
        <v>283</v>
      </c>
      <c r="R8" s="452" t="s">
        <v>284</v>
      </c>
      <c r="S8" s="452" t="s">
        <v>238</v>
      </c>
      <c r="T8" s="452" t="s">
        <v>282</v>
      </c>
      <c r="U8" s="195" t="s">
        <v>283</v>
      </c>
      <c r="V8" s="196" t="s">
        <v>284</v>
      </c>
      <c r="W8" s="312" t="s">
        <v>238</v>
      </c>
      <c r="X8" s="420" t="s">
        <v>282</v>
      </c>
      <c r="Y8" s="252" t="s">
        <v>283</v>
      </c>
      <c r="Z8" s="249" t="s">
        <v>284</v>
      </c>
      <c r="AA8" s="252" t="s">
        <v>238</v>
      </c>
      <c r="AB8" s="252" t="s">
        <v>282</v>
      </c>
      <c r="AC8" s="421" t="s">
        <v>283</v>
      </c>
      <c r="AD8" s="320" t="s">
        <v>284</v>
      </c>
      <c r="AE8" s="252" t="s">
        <v>238</v>
      </c>
      <c r="AF8" s="252" t="s">
        <v>282</v>
      </c>
      <c r="AG8" s="254" t="s">
        <v>283</v>
      </c>
    </row>
    <row r="9" spans="2:43" ht="18" customHeight="1" x14ac:dyDescent="0.25">
      <c r="B9" s="461" t="s">
        <v>1967</v>
      </c>
      <c r="C9" s="462"/>
      <c r="D9" s="463"/>
      <c r="E9" s="463"/>
      <c r="F9" s="463"/>
      <c r="G9" s="463"/>
      <c r="H9" s="463"/>
      <c r="I9" s="463"/>
      <c r="J9" s="463"/>
      <c r="K9" s="463"/>
      <c r="L9" s="463"/>
      <c r="M9" s="463"/>
      <c r="N9" s="463"/>
      <c r="O9" s="463"/>
      <c r="P9" s="463"/>
      <c r="Q9" s="429">
        <v>1602</v>
      </c>
      <c r="R9" s="429">
        <v>1612</v>
      </c>
      <c r="S9" s="429">
        <v>1636</v>
      </c>
      <c r="T9" s="429">
        <v>1692</v>
      </c>
      <c r="U9" s="429">
        <v>1731</v>
      </c>
      <c r="V9" s="429">
        <v>1744</v>
      </c>
      <c r="W9" s="429">
        <v>1792</v>
      </c>
      <c r="X9" s="429">
        <v>1796</v>
      </c>
      <c r="Y9" s="428">
        <v>1805</v>
      </c>
      <c r="Z9" s="428">
        <v>1816</v>
      </c>
      <c r="AA9" s="428">
        <v>1831</v>
      </c>
      <c r="AB9" s="428">
        <v>1845</v>
      </c>
      <c r="AC9" s="428">
        <v>1857</v>
      </c>
      <c r="AD9" s="428">
        <v>1868</v>
      </c>
      <c r="AE9" s="428">
        <v>1881</v>
      </c>
      <c r="AF9" s="428">
        <v>1895</v>
      </c>
      <c r="AG9" s="447"/>
    </row>
    <row r="10" spans="2:43" ht="17.25" customHeight="1" x14ac:dyDescent="0.25">
      <c r="B10" s="466" t="s">
        <v>1968</v>
      </c>
      <c r="C10" s="458"/>
      <c r="D10" s="458"/>
      <c r="E10" s="458"/>
      <c r="F10" s="458"/>
      <c r="G10" s="458"/>
      <c r="H10" s="459"/>
      <c r="I10" s="459"/>
      <c r="J10" s="459"/>
      <c r="K10" s="459"/>
      <c r="L10" s="459"/>
      <c r="M10" s="459"/>
      <c r="N10" s="459"/>
      <c r="O10" s="459"/>
      <c r="P10" s="459"/>
      <c r="Q10" s="204">
        <v>-0.2</v>
      </c>
      <c r="R10" s="204">
        <v>2.7</v>
      </c>
      <c r="S10" s="204">
        <v>6.1</v>
      </c>
      <c r="T10" s="204">
        <v>14.3</v>
      </c>
      <c r="U10" s="204">
        <v>9.5</v>
      </c>
      <c r="V10" s="204">
        <v>3.2</v>
      </c>
      <c r="W10" s="204">
        <v>11.3</v>
      </c>
      <c r="X10" s="204">
        <v>1</v>
      </c>
      <c r="Y10" s="203">
        <v>1.9</v>
      </c>
      <c r="Z10" s="203">
        <v>2.5</v>
      </c>
      <c r="AA10" s="203">
        <v>3.5</v>
      </c>
      <c r="AB10" s="203">
        <v>3</v>
      </c>
      <c r="AC10" s="203">
        <v>2.5</v>
      </c>
      <c r="AD10" s="203">
        <v>2.6</v>
      </c>
      <c r="AE10" s="203">
        <v>2.8</v>
      </c>
      <c r="AF10" s="203">
        <v>3</v>
      </c>
      <c r="AG10" s="448"/>
    </row>
    <row r="11" spans="2:43" ht="17.25" customHeight="1" x14ac:dyDescent="0.25">
      <c r="B11" s="472" t="s">
        <v>195</v>
      </c>
      <c r="C11" s="458" t="s">
        <v>913</v>
      </c>
      <c r="D11" s="458"/>
      <c r="E11" s="458"/>
      <c r="F11" s="458"/>
      <c r="G11" s="458"/>
      <c r="H11" s="444">
        <f>'Haver Pivoted'!GS23</f>
        <v>1442</v>
      </c>
      <c r="I11" s="444">
        <f>'Haver Pivoted'!GT23</f>
        <v>1464.7</v>
      </c>
      <c r="J11" s="444">
        <f>'Haver Pivoted'!GU23</f>
        <v>1569.8</v>
      </c>
      <c r="K11" s="444">
        <f>'Haver Pivoted'!GV23</f>
        <v>1527.7</v>
      </c>
      <c r="L11" s="444">
        <f>'Haver Pivoted'!GW23</f>
        <v>1531.4</v>
      </c>
      <c r="M11" s="444">
        <f>'Haver Pivoted'!GX23</f>
        <v>1609.9</v>
      </c>
      <c r="N11" s="444">
        <f>'Haver Pivoted'!GY23</f>
        <v>1588.5</v>
      </c>
      <c r="O11" s="444">
        <f>'Haver Pivoted'!GZ23</f>
        <v>1576.4</v>
      </c>
      <c r="P11" s="444">
        <f>'Haver Pivoted'!HA23</f>
        <v>1602.5</v>
      </c>
      <c r="Q11" s="444">
        <f>'Haver Pivoted'!HB23</f>
        <v>1601.7</v>
      </c>
      <c r="R11" s="444">
        <f>'Haver Pivoted'!HC23</f>
        <v>1612.3</v>
      </c>
      <c r="S11" s="460">
        <f>'Haver Pivoted'!HD23</f>
        <v>1636.3</v>
      </c>
      <c r="T11" s="460">
        <f>'Haver Pivoted'!HE23</f>
        <v>1691.8</v>
      </c>
      <c r="U11" s="460">
        <f>'Haver Pivoted'!HF23</f>
        <v>1730.6</v>
      </c>
      <c r="V11" s="460">
        <f>'Haver Pivoted'!HG23</f>
        <v>1744.3</v>
      </c>
      <c r="W11" s="460">
        <f>'Haver Pivoted'!HH23</f>
        <v>1791.9</v>
      </c>
      <c r="X11" s="460">
        <f>'Haver Pivoted'!HI23</f>
        <v>1820</v>
      </c>
      <c r="Y11" s="450">
        <f>(1+(Y10/100))^(1/4)*X11</f>
        <v>1828.5840782674663</v>
      </c>
      <c r="Z11" s="450">
        <f t="shared" ref="Z11:AG11" si="0">(1+(Z10/100))^(1/4)*Y11</f>
        <v>1839.9071213072348</v>
      </c>
      <c r="AA11" s="450">
        <f t="shared" si="0"/>
        <v>1855.7992197083345</v>
      </c>
      <c r="AB11" s="450">
        <f t="shared" si="0"/>
        <v>1869.5638157259718</v>
      </c>
      <c r="AC11" s="450">
        <f t="shared" si="0"/>
        <v>1881.1406153944431</v>
      </c>
      <c r="AD11" s="450">
        <f t="shared" si="0"/>
        <v>1893.2505885340929</v>
      </c>
      <c r="AE11" s="450">
        <f t="shared" si="0"/>
        <v>1906.3664187294839</v>
      </c>
      <c r="AF11" s="450">
        <f t="shared" si="0"/>
        <v>1920.50607529186</v>
      </c>
      <c r="AG11" s="450">
        <f t="shared" si="0"/>
        <v>1920.50607529186</v>
      </c>
    </row>
    <row r="12" spans="2:43" x14ac:dyDescent="0.25">
      <c r="B12" s="469" t="s">
        <v>387</v>
      </c>
      <c r="C12" s="470"/>
      <c r="D12" s="470"/>
      <c r="E12" s="470"/>
      <c r="F12" s="470"/>
      <c r="G12" s="470"/>
      <c r="H12" s="442">
        <f t="shared" ref="H12:AB12" si="1">H11+H50</f>
        <v>1720.9849999999999</v>
      </c>
      <c r="I12" s="442">
        <f t="shared" si="1"/>
        <v>1754.057</v>
      </c>
      <c r="J12" s="442">
        <f t="shared" si="1"/>
        <v>1966.0359999999998</v>
      </c>
      <c r="K12" s="442">
        <f t="shared" si="1"/>
        <v>1905.4850000000001</v>
      </c>
      <c r="L12" s="442">
        <f t="shared" si="1"/>
        <v>1896.345</v>
      </c>
      <c r="M12" s="442">
        <f t="shared" si="1"/>
        <v>2003.2760000000001</v>
      </c>
      <c r="N12" s="442">
        <f t="shared" si="1"/>
        <v>2017.9880000000003</v>
      </c>
      <c r="O12" s="442">
        <f t="shared" si="1"/>
        <v>2022.1680000000001</v>
      </c>
      <c r="P12" s="442">
        <f t="shared" si="1"/>
        <v>2070.8738520000002</v>
      </c>
      <c r="Q12" s="442">
        <f t="shared" si="1"/>
        <v>2110.3372748000002</v>
      </c>
      <c r="R12" s="442">
        <f t="shared" si="1"/>
        <v>2188.4153177142857</v>
      </c>
      <c r="S12" s="442">
        <f t="shared" si="1"/>
        <v>2198.4051537142859</v>
      </c>
      <c r="T12" s="442">
        <f t="shared" si="1"/>
        <v>2213.3022137142857</v>
      </c>
      <c r="U12" s="443">
        <f t="shared" si="1"/>
        <v>2246.2598289142857</v>
      </c>
      <c r="V12" s="443">
        <f t="shared" si="1"/>
        <v>2249.5060057142855</v>
      </c>
      <c r="W12" s="443">
        <f t="shared" si="1"/>
        <v>2283.567229714286</v>
      </c>
      <c r="X12" s="443">
        <f t="shared" si="1"/>
        <v>2325.2442297142857</v>
      </c>
      <c r="Y12" s="471">
        <f t="shared" si="1"/>
        <v>2331.3303365900724</v>
      </c>
      <c r="Z12" s="471">
        <f t="shared" si="1"/>
        <v>2322.684834773363</v>
      </c>
      <c r="AA12" s="471">
        <f t="shared" si="1"/>
        <v>2342.929442369295</v>
      </c>
      <c r="AB12" s="471">
        <f t="shared" si="1"/>
        <v>2362.9303871402576</v>
      </c>
      <c r="AC12" s="449">
        <f>AC11+AC50</f>
        <v>2357.5665131413821</v>
      </c>
      <c r="AD12" s="449"/>
      <c r="AE12" s="449"/>
      <c r="AF12" s="449"/>
      <c r="AG12" s="449"/>
      <c r="AH12" s="222" t="s">
        <v>388</v>
      </c>
    </row>
    <row r="13" spans="2:43" ht="15.75" customHeight="1" x14ac:dyDescent="0.25">
      <c r="B13" s="231"/>
      <c r="C13" s="231"/>
      <c r="D13" s="231"/>
      <c r="E13" s="231"/>
      <c r="F13" s="231"/>
      <c r="G13" s="231"/>
      <c r="H13" s="212"/>
      <c r="I13" s="212"/>
      <c r="J13" s="212"/>
      <c r="K13" s="212"/>
      <c r="L13" s="212"/>
      <c r="M13" s="212"/>
      <c r="N13" s="212"/>
      <c r="O13" s="212"/>
      <c r="AC13" s="35"/>
      <c r="AD13" s="35"/>
      <c r="AH13" s="222"/>
    </row>
    <row r="14" spans="2:43" x14ac:dyDescent="0.25">
      <c r="B14" s="231"/>
      <c r="C14" s="231"/>
      <c r="D14" s="231"/>
      <c r="E14" s="231"/>
      <c r="F14" s="231"/>
      <c r="G14" s="231"/>
      <c r="H14" s="212"/>
      <c r="I14" s="212"/>
      <c r="J14" s="212"/>
      <c r="K14" s="212"/>
      <c r="L14" s="212"/>
      <c r="M14" s="212"/>
      <c r="N14" s="212"/>
      <c r="O14" s="212"/>
      <c r="P14" s="478"/>
      <c r="Q14" s="478"/>
      <c r="R14" s="478"/>
      <c r="S14" s="478"/>
      <c r="T14" s="478"/>
      <c r="U14" s="478"/>
      <c r="V14" s="478"/>
      <c r="W14" s="478"/>
      <c r="X14" s="478"/>
      <c r="Y14" s="478"/>
      <c r="Z14" s="478"/>
      <c r="AA14" s="478"/>
      <c r="AB14" s="478"/>
      <c r="AC14" s="478"/>
      <c r="AD14" s="478"/>
      <c r="AE14" s="478"/>
      <c r="AF14" s="478"/>
      <c r="AG14" s="478"/>
    </row>
    <row r="15" spans="2:43" ht="21.75" customHeight="1" x14ac:dyDescent="0.25">
      <c r="B15" s="1357" t="s">
        <v>165</v>
      </c>
      <c r="C15" s="1357"/>
      <c r="D15" s="1357"/>
      <c r="E15" s="1357"/>
      <c r="F15" s="1357"/>
      <c r="G15" s="1357"/>
      <c r="H15" s="1357"/>
      <c r="I15" s="1357"/>
      <c r="J15" s="1357"/>
      <c r="K15" s="1357"/>
      <c r="L15" s="1357"/>
      <c r="M15" s="1357"/>
      <c r="N15" s="1357"/>
      <c r="O15" s="1357"/>
      <c r="P15" s="1357"/>
      <c r="Q15" s="1357"/>
      <c r="R15" s="1357"/>
      <c r="S15" s="1357"/>
      <c r="T15" s="1357"/>
      <c r="U15" s="1357"/>
      <c r="V15" s="1357"/>
      <c r="W15" s="1357"/>
      <c r="X15" s="1357"/>
      <c r="Y15" s="1357"/>
      <c r="Z15" s="1357"/>
      <c r="AA15" s="1357"/>
      <c r="AB15" s="1357"/>
      <c r="AC15" s="1357"/>
      <c r="AD15" s="193"/>
      <c r="AE15" s="193"/>
      <c r="AF15" s="193"/>
      <c r="AG15" s="193"/>
      <c r="AI15" s="72"/>
    </row>
    <row r="16" spans="2:43" ht="14.25" customHeight="1" x14ac:dyDescent="0.25">
      <c r="B16" s="1358" t="s">
        <v>389</v>
      </c>
      <c r="C16" s="1358"/>
      <c r="D16" s="1358"/>
      <c r="E16" s="1358"/>
      <c r="F16" s="1358"/>
      <c r="G16" s="1358"/>
      <c r="H16" s="1358"/>
      <c r="I16" s="1358"/>
      <c r="J16" s="1358"/>
      <c r="K16" s="1358"/>
      <c r="L16" s="1358"/>
      <c r="M16" s="1358"/>
      <c r="N16" s="1358"/>
      <c r="O16" s="1358"/>
      <c r="P16" s="1358"/>
      <c r="Q16" s="1358"/>
      <c r="R16" s="1358"/>
      <c r="S16" s="1358"/>
      <c r="T16" s="1358"/>
      <c r="U16" s="1358"/>
      <c r="V16" s="1358"/>
      <c r="W16" s="1358"/>
      <c r="X16" s="1358"/>
      <c r="Y16" s="1358"/>
      <c r="Z16" s="1358"/>
      <c r="AA16" s="1358"/>
      <c r="AB16" s="1358"/>
      <c r="AC16" s="1358"/>
      <c r="AD16" s="194"/>
      <c r="AE16" s="194"/>
      <c r="AF16" s="194"/>
      <c r="AG16" s="194"/>
      <c r="AI16" s="72"/>
    </row>
    <row r="17" spans="2:41" x14ac:dyDescent="0.25">
      <c r="B17" s="1358"/>
      <c r="C17" s="1358"/>
      <c r="D17" s="1358"/>
      <c r="E17" s="1358"/>
      <c r="F17" s="1358"/>
      <c r="G17" s="1358"/>
      <c r="H17" s="1358"/>
      <c r="I17" s="1358"/>
      <c r="J17" s="1358"/>
      <c r="K17" s="1358"/>
      <c r="L17" s="1358"/>
      <c r="M17" s="1358"/>
      <c r="N17" s="1358"/>
      <c r="O17" s="1358"/>
      <c r="P17" s="1358"/>
      <c r="Q17" s="1358"/>
      <c r="R17" s="1358"/>
      <c r="S17" s="1358"/>
      <c r="T17" s="1358"/>
      <c r="U17" s="1358"/>
      <c r="V17" s="1358"/>
      <c r="W17" s="1358"/>
      <c r="X17" s="1358"/>
      <c r="Y17" s="1358"/>
      <c r="Z17" s="1358"/>
      <c r="AA17" s="1358"/>
      <c r="AB17" s="1358"/>
      <c r="AC17" s="1358"/>
      <c r="AD17" s="194"/>
      <c r="AE17" s="194"/>
      <c r="AF17" s="194"/>
      <c r="AG17" s="194"/>
    </row>
    <row r="18" spans="2:41" x14ac:dyDescent="0.25">
      <c r="B18" s="1358"/>
      <c r="C18" s="1358"/>
      <c r="D18" s="1358"/>
      <c r="E18" s="1358"/>
      <c r="F18" s="1358"/>
      <c r="G18" s="1358"/>
      <c r="H18" s="1358"/>
      <c r="I18" s="1358"/>
      <c r="J18" s="1358"/>
      <c r="K18" s="1358"/>
      <c r="L18" s="1358"/>
      <c r="M18" s="1358"/>
      <c r="N18" s="1358"/>
      <c r="O18" s="1358"/>
      <c r="P18" s="1358"/>
      <c r="Q18" s="1358"/>
      <c r="R18" s="1358"/>
      <c r="S18" s="1358"/>
      <c r="T18" s="1358"/>
      <c r="U18" s="1358"/>
      <c r="V18" s="1358"/>
      <c r="W18" s="1358"/>
      <c r="X18" s="1358"/>
      <c r="Y18" s="1358"/>
      <c r="Z18" s="1358"/>
      <c r="AA18" s="1358"/>
      <c r="AB18" s="1358"/>
      <c r="AC18" s="1358"/>
      <c r="AD18" s="194"/>
      <c r="AE18" s="194"/>
      <c r="AF18" s="194"/>
      <c r="AG18" s="194"/>
    </row>
    <row r="20" spans="2:41" x14ac:dyDescent="0.25">
      <c r="B20" s="1362" t="s">
        <v>279</v>
      </c>
      <c r="C20" s="1363"/>
      <c r="D20" s="1364" t="s">
        <v>280</v>
      </c>
      <c r="E20" s="1380"/>
      <c r="F20" s="1380"/>
      <c r="G20" s="1380"/>
      <c r="H20" s="1380"/>
      <c r="I20" s="1380"/>
      <c r="J20" s="1380"/>
      <c r="K20" s="1380"/>
      <c r="L20" s="1380"/>
      <c r="M20" s="1380"/>
      <c r="N20" s="1380"/>
      <c r="O20" s="1380"/>
      <c r="P20" s="1380"/>
      <c r="Q20" s="1380"/>
      <c r="R20" s="1380"/>
      <c r="S20" s="1380"/>
      <c r="T20" s="1380"/>
      <c r="U20" s="1380"/>
      <c r="V20" s="1380"/>
      <c r="W20" s="1393" t="s">
        <v>281</v>
      </c>
      <c r="X20" s="1393"/>
      <c r="Y20" s="1393"/>
      <c r="Z20" s="1393"/>
      <c r="AA20" s="1393"/>
      <c r="AB20" s="1393"/>
      <c r="AC20" s="1393"/>
      <c r="AD20" s="1393"/>
      <c r="AE20" s="1393"/>
      <c r="AF20" s="1393"/>
      <c r="AG20" s="1393"/>
    </row>
    <row r="21" spans="2:41" x14ac:dyDescent="0.25">
      <c r="B21" s="1364"/>
      <c r="C21" s="1365"/>
      <c r="D21" s="200">
        <v>2018</v>
      </c>
      <c r="E21" s="1371">
        <v>2019</v>
      </c>
      <c r="F21" s="1403"/>
      <c r="G21" s="1403"/>
      <c r="H21" s="1373"/>
      <c r="I21" s="1371">
        <v>2020</v>
      </c>
      <c r="J21" s="1403"/>
      <c r="K21" s="1403"/>
      <c r="L21" s="1403"/>
      <c r="M21" s="1371">
        <v>2021</v>
      </c>
      <c r="N21" s="1403"/>
      <c r="O21" s="1403"/>
      <c r="P21" s="1403"/>
      <c r="Q21" s="1371">
        <v>2022</v>
      </c>
      <c r="R21" s="1403"/>
      <c r="S21" s="1403"/>
      <c r="T21" s="1373"/>
      <c r="U21" s="221"/>
      <c r="V21" s="270">
        <v>2023</v>
      </c>
      <c r="W21" s="272"/>
      <c r="X21" s="242"/>
      <c r="Y21" s="1368">
        <v>2024</v>
      </c>
      <c r="Z21" s="1369"/>
      <c r="AA21" s="1369"/>
      <c r="AB21" s="1370"/>
      <c r="AC21" s="1368">
        <v>2025</v>
      </c>
      <c r="AD21" s="1369"/>
      <c r="AE21" s="1369"/>
      <c r="AF21" s="1370"/>
      <c r="AG21" s="233">
        <v>2026</v>
      </c>
    </row>
    <row r="22" spans="2:41" x14ac:dyDescent="0.25">
      <c r="B22" s="1364"/>
      <c r="C22" s="1365"/>
      <c r="D22" s="195" t="s">
        <v>282</v>
      </c>
      <c r="E22" s="195" t="s">
        <v>283</v>
      </c>
      <c r="F22" s="196" t="s">
        <v>284</v>
      </c>
      <c r="G22" s="196" t="s">
        <v>238</v>
      </c>
      <c r="H22" s="197" t="s">
        <v>282</v>
      </c>
      <c r="I22" s="196" t="s">
        <v>283</v>
      </c>
      <c r="J22" s="196" t="s">
        <v>284</v>
      </c>
      <c r="K22" s="196" t="s">
        <v>238</v>
      </c>
      <c r="L22" s="196" t="s">
        <v>282</v>
      </c>
      <c r="M22" s="195" t="s">
        <v>283</v>
      </c>
      <c r="N22" s="196" t="s">
        <v>284</v>
      </c>
      <c r="O22" s="196" t="s">
        <v>238</v>
      </c>
      <c r="P22" s="196" t="s">
        <v>282</v>
      </c>
      <c r="Q22" s="195" t="s">
        <v>283</v>
      </c>
      <c r="R22" s="196" t="s">
        <v>284</v>
      </c>
      <c r="S22" s="196" t="s">
        <v>238</v>
      </c>
      <c r="T22" s="197" t="s">
        <v>282</v>
      </c>
      <c r="U22" s="267" t="s">
        <v>283</v>
      </c>
      <c r="V22" s="268" t="s">
        <v>284</v>
      </c>
      <c r="W22" s="252" t="s">
        <v>238</v>
      </c>
      <c r="X22" s="253" t="s">
        <v>282</v>
      </c>
      <c r="Y22" s="251" t="s">
        <v>283</v>
      </c>
      <c r="Z22" s="249" t="s">
        <v>284</v>
      </c>
      <c r="AA22" s="252" t="s">
        <v>238</v>
      </c>
      <c r="AB22" s="253" t="s">
        <v>282</v>
      </c>
      <c r="AC22" s="251" t="s">
        <v>283</v>
      </c>
      <c r="AD22" s="249" t="s">
        <v>284</v>
      </c>
      <c r="AE22" s="252" t="s">
        <v>238</v>
      </c>
      <c r="AF22" s="253" t="s">
        <v>282</v>
      </c>
      <c r="AG22" s="254" t="s">
        <v>283</v>
      </c>
    </row>
    <row r="23" spans="2:41" x14ac:dyDescent="0.25">
      <c r="B23" s="482" t="s">
        <v>111</v>
      </c>
      <c r="C23" s="476" t="s">
        <v>390</v>
      </c>
      <c r="D23" s="476"/>
      <c r="E23" s="476"/>
      <c r="F23" s="476"/>
      <c r="G23" s="476"/>
      <c r="H23" s="455">
        <f>'Haver Pivoted'!GS24</f>
        <v>2423.4</v>
      </c>
      <c r="I23" s="455">
        <f>'Haver Pivoted'!GT24</f>
        <v>2478.9</v>
      </c>
      <c r="J23" s="455">
        <f>'Haver Pivoted'!GU24</f>
        <v>2451.3000000000002</v>
      </c>
      <c r="K23" s="455">
        <f>'Haver Pivoted'!GV24</f>
        <v>2468.3000000000002</v>
      </c>
      <c r="L23" s="455">
        <f>'Haver Pivoted'!GW24</f>
        <v>2486.9</v>
      </c>
      <c r="M23" s="455">
        <f>'Haver Pivoted'!GX24</f>
        <v>2533.9</v>
      </c>
      <c r="N23" s="455">
        <f>'Haver Pivoted'!GY24</f>
        <v>2571.6999999999998</v>
      </c>
      <c r="O23" s="455">
        <f>'Haver Pivoted'!GZ24</f>
        <v>2625.1</v>
      </c>
      <c r="P23" s="455">
        <f>'Haver Pivoted'!HA24</f>
        <v>2664.2</v>
      </c>
      <c r="Q23" s="455">
        <f>'Haver Pivoted'!HB24</f>
        <v>2719.7</v>
      </c>
      <c r="R23" s="455">
        <f>'Haver Pivoted'!HC24</f>
        <v>2803.4</v>
      </c>
      <c r="S23" s="465">
        <f>'Haver Pivoted'!HD24</f>
        <v>2841.5</v>
      </c>
      <c r="T23" s="465">
        <f>'Haver Pivoted'!HE24</f>
        <v>2880.6</v>
      </c>
      <c r="U23" s="276">
        <f>'Haver Pivoted'!HF24</f>
        <v>2913.2</v>
      </c>
      <c r="V23" s="276">
        <f>'Haver Pivoted'!HG24</f>
        <v>2925.5</v>
      </c>
      <c r="W23" s="276">
        <f>'Haver Pivoted'!HH24</f>
        <v>3002.9</v>
      </c>
      <c r="X23" s="276">
        <f>'Haver Pivoted'!HI24</f>
        <v>3051.8</v>
      </c>
      <c r="Y23" s="218"/>
      <c r="Z23" s="218"/>
      <c r="AA23" s="218"/>
      <c r="AB23" s="218"/>
      <c r="AC23" s="218"/>
      <c r="AD23" s="218"/>
      <c r="AE23" s="218"/>
      <c r="AF23" s="218"/>
      <c r="AG23" s="218"/>
    </row>
    <row r="24" spans="2:41" ht="29.25" customHeight="1" x14ac:dyDescent="0.25">
      <c r="B24" s="485" t="s">
        <v>1945</v>
      </c>
      <c r="C24" s="464"/>
      <c r="D24" s="464"/>
      <c r="E24" s="464"/>
      <c r="F24" s="464"/>
      <c r="G24" s="464"/>
      <c r="H24" s="212"/>
      <c r="I24" s="212"/>
      <c r="J24" s="212"/>
      <c r="K24" s="212"/>
      <c r="L24" s="212"/>
      <c r="M24" s="212"/>
      <c r="N24" s="212"/>
      <c r="O24" s="212"/>
      <c r="P24" s="212"/>
      <c r="Q24" s="429">
        <v>2719.7</v>
      </c>
      <c r="R24" s="429">
        <v>2803.4</v>
      </c>
      <c r="S24" s="429">
        <v>2841.5</v>
      </c>
      <c r="T24" s="429">
        <v>2880.6</v>
      </c>
      <c r="U24" s="429">
        <v>2913.2</v>
      </c>
      <c r="V24" s="429">
        <v>2925.5</v>
      </c>
      <c r="W24" s="429">
        <v>3000.9</v>
      </c>
      <c r="X24" s="429">
        <v>3026.5</v>
      </c>
      <c r="Y24" s="428">
        <v>3047.5</v>
      </c>
      <c r="Z24" s="428">
        <v>3074.1</v>
      </c>
      <c r="AA24" s="428">
        <v>3101.3</v>
      </c>
      <c r="AB24" s="428">
        <v>3128.3</v>
      </c>
      <c r="AC24" s="428">
        <v>3157.3</v>
      </c>
      <c r="AD24" s="428">
        <v>3186.8</v>
      </c>
      <c r="AE24" s="428">
        <v>3217</v>
      </c>
      <c r="AF24" s="428">
        <v>3247.2</v>
      </c>
      <c r="AG24" s="445"/>
    </row>
    <row r="25" spans="2:41" ht="29.25" customHeight="1" x14ac:dyDescent="0.25">
      <c r="B25" s="485" t="s">
        <v>1966</v>
      </c>
      <c r="C25" s="464"/>
      <c r="D25" s="464"/>
      <c r="E25" s="464"/>
      <c r="F25" s="464"/>
      <c r="G25" s="464"/>
      <c r="H25" s="212"/>
      <c r="I25" s="204">
        <v>7.8</v>
      </c>
      <c r="J25" s="204">
        <v>6.1</v>
      </c>
      <c r="K25" s="204">
        <v>8.6</v>
      </c>
      <c r="L25" s="204">
        <v>6.1</v>
      </c>
      <c r="M25" s="204">
        <v>8.8520000000000003</v>
      </c>
      <c r="N25" s="204">
        <v>13.611000000000001</v>
      </c>
      <c r="O25" s="204">
        <v>2.8290000000000002</v>
      </c>
      <c r="P25" s="204">
        <v>4.0129999999999999</v>
      </c>
      <c r="Q25" s="204">
        <v>-0.01</v>
      </c>
      <c r="R25" s="204">
        <v>1.988</v>
      </c>
      <c r="S25" s="204">
        <v>1.5529999999999999</v>
      </c>
      <c r="T25" s="204">
        <v>1.1679999999999999</v>
      </c>
      <c r="U25" s="204">
        <v>3.7829999999999999</v>
      </c>
      <c r="V25" s="204">
        <v>0.80400000000000005</v>
      </c>
      <c r="W25" s="204">
        <v>3.59</v>
      </c>
      <c r="X25" s="430">
        <v>2.0390000000000001</v>
      </c>
      <c r="Y25" s="430">
        <f>((Y24/X24)^4-1)*100</f>
        <v>2.8045044926355622</v>
      </c>
      <c r="Z25" s="430">
        <f t="shared" ref="Z25:AF25" si="2">((Z24/Y24)^4-1)*100</f>
        <v>3.5373646286516403</v>
      </c>
      <c r="AA25" s="430">
        <f t="shared" si="2"/>
        <v>3.5864984739591765</v>
      </c>
      <c r="AB25" s="430">
        <f t="shared" si="2"/>
        <v>3.5281520639505404</v>
      </c>
      <c r="AC25" s="430">
        <f t="shared" si="2"/>
        <v>3.7599657458294855</v>
      </c>
      <c r="AD25" s="430">
        <f t="shared" si="2"/>
        <v>3.7900773407746113</v>
      </c>
      <c r="AE25" s="430">
        <f t="shared" si="2"/>
        <v>3.8448610680745565</v>
      </c>
      <c r="AF25" s="430">
        <f t="shared" si="2"/>
        <v>3.8082595284052889</v>
      </c>
      <c r="AG25" s="445"/>
    </row>
    <row r="26" spans="2:41" ht="21" customHeight="1" x14ac:dyDescent="0.25">
      <c r="B26" s="473" t="s">
        <v>1932</v>
      </c>
      <c r="C26" s="231"/>
      <c r="D26" s="231"/>
      <c r="E26" s="231"/>
      <c r="F26" s="231"/>
      <c r="G26" s="231"/>
      <c r="H26" s="207"/>
      <c r="I26" s="207"/>
      <c r="J26" s="207"/>
      <c r="K26" s="207"/>
      <c r="L26" s="207"/>
      <c r="M26" s="207">
        <f t="shared" ref="M26:V26" si="3">((M23/L23)^4-1)*100</f>
        <v>7.7766292401933779</v>
      </c>
      <c r="N26" s="207">
        <f t="shared" si="3"/>
        <v>6.101942113226988</v>
      </c>
      <c r="O26" s="207">
        <f t="shared" si="3"/>
        <v>8.5680877371025801</v>
      </c>
      <c r="P26" s="207">
        <f t="shared" si="3"/>
        <v>6.0923056825790356</v>
      </c>
      <c r="Q26" s="207">
        <f t="shared" si="3"/>
        <v>8.5967202401499456</v>
      </c>
      <c r="R26" s="207">
        <f t="shared" si="3"/>
        <v>12.890207409855471</v>
      </c>
      <c r="S26" s="207">
        <f t="shared" si="3"/>
        <v>5.5480867891862351</v>
      </c>
      <c r="T26" s="207">
        <f t="shared" si="3"/>
        <v>5.618789054672324</v>
      </c>
      <c r="U26" s="207">
        <f t="shared" si="3"/>
        <v>4.6042619795704454</v>
      </c>
      <c r="V26" s="207">
        <f t="shared" si="3"/>
        <v>1.6995906045958797</v>
      </c>
      <c r="W26" s="431">
        <f>((W23/V23)^4-1)*100</f>
        <v>11.010247254253724</v>
      </c>
      <c r="X26" s="431">
        <f>((X23/W23)^4-1)*100</f>
        <v>6.6745439826610298</v>
      </c>
      <c r="Y26" s="218">
        <f>Y25+1.7</f>
        <v>4.5045044926355624</v>
      </c>
      <c r="Z26" s="218">
        <f>Z25+0.5</f>
        <v>4.0373646286516403</v>
      </c>
      <c r="AA26" s="218">
        <f>AA25+0.2</f>
        <v>3.7864984739591767</v>
      </c>
      <c r="AB26" s="218">
        <f>AB25+0.3</f>
        <v>3.8281520639505402</v>
      </c>
      <c r="AC26" s="218">
        <f t="shared" ref="AA26:AF26" si="4">AC25</f>
        <v>3.7599657458294855</v>
      </c>
      <c r="AD26" s="218">
        <f t="shared" si="4"/>
        <v>3.7900773407746113</v>
      </c>
      <c r="AE26" s="218">
        <f t="shared" si="4"/>
        <v>3.8448610680745565</v>
      </c>
      <c r="AF26" s="218">
        <f t="shared" si="4"/>
        <v>3.8082595284052889</v>
      </c>
      <c r="AG26" s="213"/>
      <c r="AH26" s="481" t="s">
        <v>391</v>
      </c>
    </row>
    <row r="27" spans="2:41" ht="17.850000000000001" customHeight="1" x14ac:dyDescent="0.25">
      <c r="B27" s="484" t="s">
        <v>392</v>
      </c>
      <c r="C27" s="237"/>
      <c r="D27" s="237"/>
      <c r="E27" s="237"/>
      <c r="F27" s="237"/>
      <c r="G27" s="237"/>
      <c r="H27" s="210">
        <f t="shared" ref="H27:T27" si="5">H23</f>
        <v>2423.4</v>
      </c>
      <c r="I27" s="210">
        <f t="shared" si="5"/>
        <v>2478.9</v>
      </c>
      <c r="J27" s="210">
        <f t="shared" si="5"/>
        <v>2451.3000000000002</v>
      </c>
      <c r="K27" s="210">
        <f t="shared" si="5"/>
        <v>2468.3000000000002</v>
      </c>
      <c r="L27" s="210">
        <f t="shared" si="5"/>
        <v>2486.9</v>
      </c>
      <c r="M27" s="210">
        <f t="shared" si="5"/>
        <v>2533.9</v>
      </c>
      <c r="N27" s="210">
        <f t="shared" si="5"/>
        <v>2571.6999999999998</v>
      </c>
      <c r="O27" s="210">
        <f t="shared" si="5"/>
        <v>2625.1</v>
      </c>
      <c r="P27" s="210">
        <f t="shared" si="5"/>
        <v>2664.2</v>
      </c>
      <c r="Q27" s="210">
        <f t="shared" si="5"/>
        <v>2719.7</v>
      </c>
      <c r="R27" s="210">
        <f t="shared" si="5"/>
        <v>2803.4</v>
      </c>
      <c r="S27" s="277">
        <f t="shared" si="5"/>
        <v>2841.5</v>
      </c>
      <c r="T27" s="277">
        <f t="shared" si="5"/>
        <v>2880.6</v>
      </c>
      <c r="U27" s="277">
        <f>U23</f>
        <v>2913.2</v>
      </c>
      <c r="V27" s="277">
        <f>V23</f>
        <v>2925.5</v>
      </c>
      <c r="W27" s="277">
        <f>W23</f>
        <v>3002.9</v>
      </c>
      <c r="X27" s="277">
        <f>X23</f>
        <v>3051.8</v>
      </c>
      <c r="Y27" s="453">
        <f>X27*((1+Y26/100)^0.25)</f>
        <v>3085.6013884701142</v>
      </c>
      <c r="Z27" s="453">
        <f t="shared" ref="Z27:AA27" si="6">Y27*((1+Z26/100)^0.25)</f>
        <v>3116.2849115947884</v>
      </c>
      <c r="AA27" s="453">
        <f t="shared" si="6"/>
        <v>3145.3745750228036</v>
      </c>
      <c r="AB27" s="453">
        <f>AA27*((1+AB26/100)^0.25)</f>
        <v>3175.0542710147729</v>
      </c>
      <c r="AC27" s="453">
        <f>AB27*((1+AC26/100)^0.25)</f>
        <v>3204.4876929562201</v>
      </c>
      <c r="AD27" s="453">
        <f>AC27*((1+AD26/100)^0.25)</f>
        <v>3234.4285876897607</v>
      </c>
      <c r="AE27" s="453">
        <f t="shared" ref="AE27:AF27" si="7">AD27*((1+AE26/100)^0.25)</f>
        <v>3265.0799443322326</v>
      </c>
      <c r="AF27" s="453">
        <f t="shared" si="7"/>
        <v>3295.7313009747045</v>
      </c>
      <c r="AG27" s="446"/>
    </row>
    <row r="28" spans="2:41" x14ac:dyDescent="0.25">
      <c r="B28" s="474" t="s">
        <v>393</v>
      </c>
      <c r="C28" s="475"/>
      <c r="D28" s="475"/>
      <c r="E28" s="475"/>
      <c r="F28" s="475"/>
      <c r="G28" s="475"/>
      <c r="H28" s="480">
        <f t="shared" ref="H28:P28" si="8">H23-H50</f>
        <v>2144.415</v>
      </c>
      <c r="I28" s="480">
        <f t="shared" si="8"/>
        <v>2189.5430000000001</v>
      </c>
      <c r="J28" s="480">
        <f t="shared" si="8"/>
        <v>2055.0640000000003</v>
      </c>
      <c r="K28" s="480">
        <f t="shared" si="8"/>
        <v>2090.5150000000003</v>
      </c>
      <c r="L28" s="480">
        <f t="shared" si="8"/>
        <v>2121.9549999999999</v>
      </c>
      <c r="M28" s="480">
        <f t="shared" si="8"/>
        <v>2140.5240000000003</v>
      </c>
      <c r="N28" s="480">
        <f t="shared" si="8"/>
        <v>2142.2119999999995</v>
      </c>
      <c r="O28" s="480">
        <f t="shared" si="8"/>
        <v>2179.3319999999999</v>
      </c>
      <c r="P28" s="480">
        <f t="shared" si="8"/>
        <v>2195.8261479999996</v>
      </c>
      <c r="Q28" s="480">
        <f t="shared" ref="Q28:AC28" si="9">Q27-Q50</f>
        <v>2211.0627251999999</v>
      </c>
      <c r="R28" s="480">
        <f t="shared" si="9"/>
        <v>2227.2846822857146</v>
      </c>
      <c r="S28" s="480">
        <f t="shared" si="9"/>
        <v>2279.3948462857143</v>
      </c>
      <c r="T28" s="480">
        <f t="shared" si="9"/>
        <v>2359.0977862857144</v>
      </c>
      <c r="U28" s="480">
        <f t="shared" si="9"/>
        <v>2397.5401710857141</v>
      </c>
      <c r="V28" s="212">
        <f t="shared" si="9"/>
        <v>2420.2939942857142</v>
      </c>
      <c r="W28" s="212">
        <f t="shared" si="9"/>
        <v>2511.2327702857142</v>
      </c>
      <c r="X28" s="212">
        <f t="shared" si="9"/>
        <v>2546.5557702857145</v>
      </c>
      <c r="Y28" s="320">
        <f t="shared" si="9"/>
        <v>2582.8551301475081</v>
      </c>
      <c r="Z28" s="320">
        <f t="shared" si="9"/>
        <v>2633.5071981286601</v>
      </c>
      <c r="AA28" s="320">
        <f t="shared" si="9"/>
        <v>2658.2443523618431</v>
      </c>
      <c r="AB28" s="320">
        <f t="shared" si="9"/>
        <v>2681.6876996004871</v>
      </c>
      <c r="AC28" s="320">
        <f t="shared" si="9"/>
        <v>2728.0617952092812</v>
      </c>
      <c r="AD28" s="320"/>
      <c r="AE28" s="320"/>
      <c r="AF28" s="320"/>
      <c r="AG28" s="320"/>
      <c r="AH28" s="222" t="s">
        <v>394</v>
      </c>
    </row>
    <row r="29" spans="2:41" x14ac:dyDescent="0.25">
      <c r="B29" s="35"/>
      <c r="C29" s="35"/>
      <c r="D29" s="35"/>
      <c r="E29" s="35"/>
      <c r="F29" s="35"/>
      <c r="G29" s="35"/>
      <c r="H29" s="35"/>
      <c r="I29" s="35"/>
      <c r="J29" s="35"/>
      <c r="K29" s="35"/>
      <c r="L29" s="35"/>
      <c r="M29" s="72"/>
      <c r="N29" s="72"/>
      <c r="O29" s="72"/>
      <c r="P29" s="72"/>
      <c r="Q29" s="72"/>
      <c r="R29" s="72"/>
      <c r="S29" s="128"/>
      <c r="T29" s="128"/>
      <c r="U29" s="128"/>
      <c r="V29" s="128"/>
      <c r="W29" s="128"/>
      <c r="X29" s="426">
        <f>(X23/W23)^4</f>
        <v>1.0667454398266103</v>
      </c>
      <c r="Y29" s="128"/>
      <c r="Z29" s="128"/>
      <c r="AA29" s="128"/>
      <c r="AB29" s="128"/>
      <c r="AC29" s="128"/>
      <c r="AD29" s="128"/>
      <c r="AE29" s="128"/>
      <c r="AF29" s="128"/>
      <c r="AG29" s="128"/>
    </row>
    <row r="30" spans="2:41" x14ac:dyDescent="0.25">
      <c r="B30" s="35"/>
      <c r="C30" s="35"/>
      <c r="D30" s="35"/>
      <c r="E30" s="35"/>
      <c r="F30" s="35"/>
      <c r="G30" s="35"/>
      <c r="H30" s="35"/>
      <c r="I30" s="35"/>
      <c r="J30" s="35"/>
      <c r="K30" s="35"/>
      <c r="L30" s="35"/>
      <c r="M30" s="72"/>
      <c r="N30" s="72"/>
      <c r="O30" s="72"/>
      <c r="P30" s="72"/>
      <c r="Q30" s="72"/>
      <c r="R30" s="72"/>
      <c r="S30" s="128"/>
      <c r="T30" s="128"/>
      <c r="U30" s="128"/>
      <c r="V30" s="128"/>
      <c r="W30" s="262">
        <f>W27/V27</f>
        <v>1.0264570158947188</v>
      </c>
      <c r="X30" s="262">
        <f>X27/W27</f>
        <v>1.0162842585500682</v>
      </c>
      <c r="Y30" s="128"/>
      <c r="Z30" s="128"/>
      <c r="AA30" s="128"/>
      <c r="AB30" s="128"/>
      <c r="AC30" s="128"/>
      <c r="AD30" s="128"/>
      <c r="AE30" s="128"/>
      <c r="AF30" s="128"/>
      <c r="AG30" s="128"/>
    </row>
    <row r="31" spans="2:41" x14ac:dyDescent="0.25">
      <c r="B31" s="231"/>
      <c r="C31" s="231"/>
      <c r="D31" s="231"/>
      <c r="E31" s="231"/>
      <c r="F31" s="231"/>
      <c r="G31" s="231"/>
      <c r="H31" s="212"/>
      <c r="I31" s="212"/>
      <c r="J31" s="212"/>
      <c r="K31" s="212"/>
      <c r="L31" s="212"/>
      <c r="M31" s="212"/>
      <c r="N31" s="212"/>
      <c r="O31" s="212"/>
      <c r="P31" s="212"/>
      <c r="Q31" s="479"/>
      <c r="R31" s="212"/>
      <c r="S31" s="212"/>
      <c r="T31" s="212"/>
      <c r="U31" s="212"/>
      <c r="V31" s="212"/>
      <c r="W31" s="212"/>
      <c r="X31" s="212"/>
      <c r="Y31" s="212"/>
      <c r="Z31" s="212"/>
    </row>
    <row r="32" spans="2:41" ht="85.35" customHeight="1" x14ac:dyDescent="0.25">
      <c r="B32" s="434" t="s">
        <v>885</v>
      </c>
      <c r="C32" s="437" t="s">
        <v>884</v>
      </c>
      <c r="D32" s="435">
        <v>44197</v>
      </c>
      <c r="E32" s="436">
        <v>44228</v>
      </c>
      <c r="F32" s="436">
        <v>44256</v>
      </c>
      <c r="G32" s="436">
        <v>44287</v>
      </c>
      <c r="H32" s="436">
        <v>44317</v>
      </c>
      <c r="I32" s="436">
        <v>44348</v>
      </c>
      <c r="J32" s="436">
        <v>44378</v>
      </c>
      <c r="K32" s="436">
        <v>44409</v>
      </c>
      <c r="L32" s="436">
        <v>44440</v>
      </c>
      <c r="M32" s="436">
        <v>44470</v>
      </c>
      <c r="N32" s="436">
        <v>44501</v>
      </c>
      <c r="O32" s="436">
        <v>44531</v>
      </c>
      <c r="P32" s="130">
        <v>44562</v>
      </c>
      <c r="Q32" s="433">
        <v>44593</v>
      </c>
      <c r="R32" s="130">
        <v>44621</v>
      </c>
      <c r="S32" s="130">
        <v>44652</v>
      </c>
      <c r="T32" s="130">
        <v>44682</v>
      </c>
      <c r="U32" s="130">
        <v>44713</v>
      </c>
      <c r="V32" s="130">
        <v>44743</v>
      </c>
      <c r="W32" s="130">
        <v>44774</v>
      </c>
      <c r="X32" s="130">
        <v>44805</v>
      </c>
      <c r="Y32" s="130">
        <v>44835</v>
      </c>
      <c r="Z32" s="130">
        <v>44866</v>
      </c>
      <c r="AA32" s="130">
        <v>44896</v>
      </c>
      <c r="AB32" s="130">
        <v>44927</v>
      </c>
      <c r="AC32" s="130">
        <v>44958</v>
      </c>
      <c r="AD32" s="130">
        <v>44986</v>
      </c>
      <c r="AE32" s="130">
        <v>45017</v>
      </c>
      <c r="AF32" s="130">
        <v>45047</v>
      </c>
      <c r="AG32" s="130">
        <v>45078</v>
      </c>
      <c r="AH32" s="130">
        <v>45108</v>
      </c>
      <c r="AI32" s="130">
        <v>45139</v>
      </c>
      <c r="AJ32" s="130">
        <v>45170</v>
      </c>
      <c r="AK32" s="130">
        <v>45200</v>
      </c>
      <c r="AL32" s="130">
        <v>45231</v>
      </c>
      <c r="AM32" s="130">
        <v>45261</v>
      </c>
      <c r="AN32" s="130">
        <v>45292</v>
      </c>
      <c r="AO32" s="130">
        <v>45323</v>
      </c>
    </row>
    <row r="33" spans="2:41" ht="19.5" customHeight="1" x14ac:dyDescent="0.25">
      <c r="B33" s="338" t="s">
        <v>395</v>
      </c>
      <c r="C33" s="432"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39">
        <v>5143</v>
      </c>
      <c r="Z33" s="440">
        <v>5161</v>
      </c>
      <c r="AA33" s="439">
        <v>5131</v>
      </c>
      <c r="AB33" s="439">
        <v>5206</v>
      </c>
      <c r="AC33" s="439">
        <v>5229</v>
      </c>
      <c r="AD33" s="439">
        <v>5249</v>
      </c>
      <c r="AE33" s="439">
        <v>5263</v>
      </c>
      <c r="AF33" s="439">
        <v>5280</v>
      </c>
      <c r="AG33" s="439">
        <v>5301</v>
      </c>
      <c r="AH33" s="438">
        <v>5301</v>
      </c>
      <c r="AI33">
        <v>5329</v>
      </c>
      <c r="AJ33">
        <v>5346</v>
      </c>
      <c r="AK33">
        <v>5375</v>
      </c>
      <c r="AL33">
        <v>5383</v>
      </c>
      <c r="AM33">
        <v>5404</v>
      </c>
      <c r="AN33">
        <v>5423</v>
      </c>
      <c r="AO33">
        <v>5428</v>
      </c>
    </row>
    <row r="34" spans="2:41" ht="18" customHeight="1" x14ac:dyDescent="0.25">
      <c r="B34" s="230" t="s">
        <v>397</v>
      </c>
      <c r="C34" s="222"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41">
        <v>14118</v>
      </c>
      <c r="S34" s="441">
        <v>14140</v>
      </c>
      <c r="T34" s="441">
        <v>14153</v>
      </c>
      <c r="U34" s="441">
        <v>14161</v>
      </c>
      <c r="V34" s="441">
        <v>14272</v>
      </c>
      <c r="W34" s="441">
        <v>14266</v>
      </c>
      <c r="X34" s="441">
        <v>14260</v>
      </c>
      <c r="Y34" s="441">
        <v>14287</v>
      </c>
      <c r="Z34" s="441">
        <v>14328</v>
      </c>
      <c r="AA34" s="441">
        <v>14360</v>
      </c>
      <c r="AB34" s="441">
        <v>14402</v>
      </c>
      <c r="AC34" s="441">
        <v>14430</v>
      </c>
      <c r="AD34" s="441">
        <v>14457</v>
      </c>
      <c r="AE34" s="441">
        <v>14482</v>
      </c>
      <c r="AF34" s="441">
        <v>14508</v>
      </c>
      <c r="AG34" s="441">
        <v>14536</v>
      </c>
      <c r="AH34" s="441">
        <v>14564</v>
      </c>
      <c r="AI34" s="441">
        <v>14585</v>
      </c>
      <c r="AJ34" s="441">
        <v>14612</v>
      </c>
      <c r="AK34" s="441">
        <v>14642</v>
      </c>
      <c r="AL34" s="441">
        <v>14665</v>
      </c>
      <c r="AM34" s="441">
        <v>14711</v>
      </c>
      <c r="AN34" s="441">
        <v>14732</v>
      </c>
      <c r="AO34" s="441">
        <v>14770</v>
      </c>
    </row>
    <row r="35" spans="2:41" ht="18" customHeight="1" x14ac:dyDescent="0.25">
      <c r="B35" s="230" t="s">
        <v>1937</v>
      </c>
      <c r="C35" s="222"/>
      <c r="D35" s="35"/>
      <c r="E35" s="35"/>
      <c r="F35" s="35"/>
      <c r="G35" s="35"/>
      <c r="H35" s="35"/>
      <c r="I35" s="35"/>
      <c r="J35" s="35"/>
      <c r="K35" s="35"/>
      <c r="L35" s="35"/>
      <c r="M35" s="35"/>
      <c r="N35" s="35"/>
      <c r="O35" s="35"/>
      <c r="P35" s="35"/>
      <c r="Q35" s="35"/>
      <c r="R35" s="441"/>
      <c r="S35" s="441"/>
      <c r="T35" s="441"/>
      <c r="U35" s="441"/>
      <c r="V35" s="441">
        <f>V33+V34</f>
        <v>19401</v>
      </c>
      <c r="W35" s="441">
        <f t="shared" ref="W35:AO35" si="10">W33+W34</f>
        <v>19405</v>
      </c>
      <c r="X35" s="441">
        <f t="shared" si="10"/>
        <v>19408</v>
      </c>
      <c r="Y35" s="441">
        <f t="shared" si="10"/>
        <v>19430</v>
      </c>
      <c r="Z35" s="441">
        <f t="shared" si="10"/>
        <v>19489</v>
      </c>
      <c r="AA35" s="441">
        <f t="shared" si="10"/>
        <v>19491</v>
      </c>
      <c r="AB35" s="441">
        <f t="shared" si="10"/>
        <v>19608</v>
      </c>
      <c r="AC35" s="441">
        <f t="shared" si="10"/>
        <v>19659</v>
      </c>
      <c r="AD35" s="441">
        <f t="shared" si="10"/>
        <v>19706</v>
      </c>
      <c r="AE35" s="441">
        <f t="shared" si="10"/>
        <v>19745</v>
      </c>
      <c r="AF35" s="441">
        <f t="shared" si="10"/>
        <v>19788</v>
      </c>
      <c r="AG35" s="441">
        <f t="shared" si="10"/>
        <v>19837</v>
      </c>
      <c r="AH35" s="441">
        <f t="shared" si="10"/>
        <v>19865</v>
      </c>
      <c r="AI35" s="441">
        <f t="shared" si="10"/>
        <v>19914</v>
      </c>
      <c r="AJ35" s="441">
        <f t="shared" si="10"/>
        <v>19958</v>
      </c>
      <c r="AK35" s="441">
        <f t="shared" si="10"/>
        <v>20017</v>
      </c>
      <c r="AL35" s="441">
        <f t="shared" si="10"/>
        <v>20048</v>
      </c>
      <c r="AM35" s="441">
        <f t="shared" si="10"/>
        <v>20115</v>
      </c>
      <c r="AN35" s="441">
        <f t="shared" si="10"/>
        <v>20155</v>
      </c>
      <c r="AO35" s="441">
        <f t="shared" si="10"/>
        <v>20198</v>
      </c>
    </row>
    <row r="36" spans="2:41" ht="19.5" customHeight="1" x14ac:dyDescent="0.25">
      <c r="B36" s="474" t="s">
        <v>399</v>
      </c>
      <c r="C36" s="345" t="s">
        <v>400</v>
      </c>
      <c r="D36" s="35">
        <v>345102</v>
      </c>
      <c r="E36" s="441">
        <v>335151</v>
      </c>
      <c r="F36" s="441">
        <v>336955</v>
      </c>
      <c r="G36" s="441">
        <v>335574</v>
      </c>
      <c r="H36" s="441">
        <v>338521</v>
      </c>
      <c r="I36" s="441">
        <v>329746</v>
      </c>
      <c r="J36" s="441">
        <v>328919</v>
      </c>
      <c r="K36" s="441">
        <v>333989</v>
      </c>
      <c r="L36" s="441">
        <v>326840</v>
      </c>
      <c r="M36" s="441">
        <v>327373</v>
      </c>
      <c r="N36" s="441">
        <v>331380</v>
      </c>
      <c r="O36" s="441">
        <v>331492</v>
      </c>
      <c r="P36" s="441">
        <v>334244</v>
      </c>
      <c r="Q36" s="441">
        <v>338416</v>
      </c>
      <c r="R36" s="441">
        <v>339417</v>
      </c>
      <c r="S36" s="441">
        <v>345062</v>
      </c>
      <c r="T36" s="441">
        <v>339178</v>
      </c>
      <c r="U36" s="441">
        <v>342484</v>
      </c>
      <c r="V36" s="441">
        <v>350972</v>
      </c>
      <c r="W36" s="441">
        <v>350286</v>
      </c>
      <c r="X36" s="441">
        <v>355116</v>
      </c>
      <c r="Y36" s="441">
        <v>354474</v>
      </c>
      <c r="Z36" s="441">
        <v>359543</v>
      </c>
      <c r="AA36" s="441">
        <v>361033</v>
      </c>
      <c r="AB36" s="441">
        <v>364867</v>
      </c>
      <c r="AC36" s="441">
        <v>371673</v>
      </c>
      <c r="AD36" s="441">
        <v>374555</v>
      </c>
      <c r="AE36" s="441">
        <v>382073</v>
      </c>
      <c r="AF36" s="441">
        <v>388978</v>
      </c>
      <c r="AG36" s="441">
        <v>396538</v>
      </c>
      <c r="AH36" s="441">
        <v>404059</v>
      </c>
      <c r="AI36" s="441">
        <v>407847</v>
      </c>
      <c r="AJ36" s="441">
        <v>418897</v>
      </c>
      <c r="AK36" s="222">
        <v>432334</v>
      </c>
      <c r="AL36" s="441">
        <v>440095</v>
      </c>
      <c r="AM36" s="441">
        <v>446948</v>
      </c>
      <c r="AN36" s="441">
        <v>442475</v>
      </c>
    </row>
    <row r="37" spans="2:41" ht="15.6" customHeight="1" x14ac:dyDescent="0.25">
      <c r="B37" s="237"/>
      <c r="C37" s="231"/>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22">
        <f>(AK35/AJ35)^12</f>
        <v>1.0360570030341696</v>
      </c>
      <c r="AL37" s="222">
        <f t="shared" ref="AL37:AM37" si="12">(AL35/AK35)^12</f>
        <v>1.01874331923136</v>
      </c>
      <c r="AM37" s="222">
        <f t="shared" si="12"/>
        <v>1.0408491672630216</v>
      </c>
      <c r="AN37" s="222">
        <f>(AN35/AM35)^12</f>
        <v>1.0241255167005734</v>
      </c>
      <c r="AO37" s="222">
        <f>(AO35/AN35)^12</f>
        <v>1.0259041449637403</v>
      </c>
    </row>
    <row r="38" spans="2:41" ht="12.75" customHeight="1" x14ac:dyDescent="0.25">
      <c r="AE38">
        <f>AVERAGE(AE35:AG35)</f>
        <v>19790</v>
      </c>
      <c r="AH38">
        <f>AVERAGE(AH35:AJ35)</f>
        <v>19912.333333333332</v>
      </c>
      <c r="AK38" s="222">
        <f>(AK34/AJ34)^3</f>
        <v>1.0061719755057918</v>
      </c>
    </row>
    <row r="39" spans="2:41" x14ac:dyDescent="0.25">
      <c r="B39" s="1357" t="s">
        <v>401</v>
      </c>
      <c r="C39" s="1357"/>
      <c r="D39" s="1357"/>
      <c r="E39" s="1357"/>
      <c r="F39" s="1357"/>
      <c r="G39" s="1357"/>
      <c r="H39" s="1357"/>
      <c r="I39" s="1357"/>
      <c r="J39" s="1357"/>
      <c r="K39" s="1357"/>
      <c r="L39" s="1357"/>
      <c r="M39" s="1357"/>
      <c r="N39" s="1357"/>
      <c r="O39" s="1357"/>
      <c r="P39" s="1357"/>
      <c r="Q39" s="1357"/>
      <c r="R39" s="1357"/>
      <c r="S39" s="1357"/>
      <c r="T39" s="1357"/>
      <c r="U39" s="1357"/>
      <c r="V39" s="1357"/>
      <c r="W39" s="1357"/>
      <c r="X39" s="1357"/>
      <c r="Y39" s="1357"/>
      <c r="Z39" s="1357"/>
      <c r="AA39" s="1357"/>
      <c r="AB39" s="1357"/>
      <c r="AC39" s="1357"/>
      <c r="AD39" s="193"/>
      <c r="AE39">
        <f>AVERAGE(AE36:AG36)</f>
        <v>389196.33333333331</v>
      </c>
      <c r="AF39" s="193"/>
      <c r="AG39" s="193"/>
      <c r="AH39">
        <f>AVERAGE(AH36:AJ36)</f>
        <v>410267.66666666669</v>
      </c>
      <c r="AK39" s="222"/>
    </row>
    <row r="40" spans="2:41" ht="20.25" customHeight="1" x14ac:dyDescent="0.25">
      <c r="B40" s="1357"/>
      <c r="C40" s="1357"/>
      <c r="D40" s="1357"/>
      <c r="E40" s="1357"/>
      <c r="F40" s="1357"/>
      <c r="G40" s="1357"/>
      <c r="H40" s="1357"/>
      <c r="I40" s="1357"/>
      <c r="J40" s="1357"/>
      <c r="K40" s="1357"/>
      <c r="L40" s="1357"/>
      <c r="M40" s="1357"/>
      <c r="N40" s="1357"/>
      <c r="O40" s="1357"/>
      <c r="P40" s="1357"/>
      <c r="Q40" s="1357"/>
      <c r="R40" s="1357"/>
      <c r="S40" s="1357"/>
      <c r="T40" s="1357"/>
      <c r="U40" s="1357"/>
      <c r="V40" s="1357"/>
      <c r="W40" s="1357"/>
      <c r="X40" s="1357"/>
      <c r="Y40" s="1357"/>
      <c r="Z40" s="1357"/>
      <c r="AA40" s="1357"/>
      <c r="AB40" s="1357"/>
      <c r="AC40" s="1357"/>
      <c r="AD40" s="193"/>
      <c r="AE40" s="193"/>
      <c r="AF40" s="193"/>
      <c r="AG40" s="193"/>
      <c r="AH40">
        <f>AH38/AE38</f>
        <v>1.0061815731851103</v>
      </c>
      <c r="AK40" s="222"/>
    </row>
    <row r="41" spans="2:41" ht="14.25" customHeight="1" x14ac:dyDescent="0.25">
      <c r="B41" s="1410" t="s">
        <v>402</v>
      </c>
      <c r="C41" s="1410"/>
      <c r="D41" s="1410"/>
      <c r="E41" s="1410"/>
      <c r="F41" s="1410"/>
      <c r="G41" s="1410"/>
      <c r="H41" s="1410"/>
      <c r="I41" s="1410"/>
      <c r="J41" s="1410"/>
      <c r="K41" s="1410"/>
      <c r="L41" s="1410"/>
      <c r="M41" s="1410"/>
      <c r="N41" s="1410"/>
      <c r="O41" s="1410"/>
      <c r="P41" s="1410"/>
      <c r="Q41" s="1410"/>
      <c r="R41" s="1410"/>
      <c r="S41" s="1410"/>
      <c r="T41" s="1410"/>
      <c r="U41" s="1410"/>
      <c r="V41" s="1410"/>
      <c r="W41" s="1410"/>
      <c r="X41" s="1410"/>
      <c r="Y41" s="1410"/>
      <c r="Z41" s="1410"/>
      <c r="AA41" s="1410"/>
      <c r="AB41" s="1410"/>
      <c r="AC41" s="1410"/>
      <c r="AD41" s="366"/>
      <c r="AE41" s="366"/>
      <c r="AF41" s="366"/>
      <c r="AG41" s="366"/>
      <c r="AH41">
        <f>AH39/AE39</f>
        <v>1.0541406265389621</v>
      </c>
      <c r="AK41" s="222"/>
    </row>
    <row r="42" spans="2:41" x14ac:dyDescent="0.25">
      <c r="B42" s="1410"/>
      <c r="C42" s="1410"/>
      <c r="D42" s="1410"/>
      <c r="E42" s="1410"/>
      <c r="F42" s="1410"/>
      <c r="G42" s="1410"/>
      <c r="H42" s="1410"/>
      <c r="I42" s="1410"/>
      <c r="J42" s="1410"/>
      <c r="K42" s="1410"/>
      <c r="L42" s="1410"/>
      <c r="M42" s="1410"/>
      <c r="N42" s="1410"/>
      <c r="O42" s="1410"/>
      <c r="P42" s="1410"/>
      <c r="Q42" s="1410"/>
      <c r="R42" s="1410"/>
      <c r="S42" s="1410"/>
      <c r="T42" s="1410"/>
      <c r="U42" s="1410"/>
      <c r="V42" s="1410"/>
      <c r="W42" s="1410"/>
      <c r="X42" s="1410"/>
      <c r="Y42" s="1410"/>
      <c r="Z42" s="1410"/>
      <c r="AA42" s="1410"/>
      <c r="AB42" s="1410"/>
      <c r="AC42" s="1410"/>
      <c r="AD42" s="366"/>
      <c r="AE42" s="366"/>
      <c r="AF42" s="366"/>
      <c r="AG42" s="366"/>
      <c r="AK42" s="222"/>
    </row>
    <row r="43" spans="2:41" ht="8.85" customHeight="1" x14ac:dyDescent="0.25">
      <c r="B43" s="1410"/>
      <c r="C43" s="1410"/>
      <c r="D43" s="1410"/>
      <c r="E43" s="1410"/>
      <c r="F43" s="1410"/>
      <c r="G43" s="1410"/>
      <c r="H43" s="1410"/>
      <c r="I43" s="1410"/>
      <c r="J43" s="1410"/>
      <c r="K43" s="1410"/>
      <c r="L43" s="1410"/>
      <c r="M43" s="1410"/>
      <c r="N43" s="1410"/>
      <c r="O43" s="1410"/>
      <c r="P43" s="1410"/>
      <c r="Q43" s="1410"/>
      <c r="R43" s="1410"/>
      <c r="S43" s="1410"/>
      <c r="T43" s="1410"/>
      <c r="U43" s="1410"/>
      <c r="V43" s="1410"/>
      <c r="W43" s="1410"/>
      <c r="X43" s="1410"/>
      <c r="Y43" s="1410"/>
      <c r="Z43" s="1410"/>
      <c r="AA43" s="1410"/>
      <c r="AB43" s="1410"/>
      <c r="AC43" s="1410"/>
      <c r="AD43" s="366"/>
      <c r="AE43" s="366"/>
      <c r="AF43" s="366"/>
      <c r="AG43" s="366"/>
      <c r="AK43" s="222"/>
    </row>
    <row r="44" spans="2:41" ht="12.75" customHeight="1" x14ac:dyDescent="0.25">
      <c r="AK44" s="222"/>
    </row>
    <row r="45" spans="2:41" ht="30.75" customHeight="1" x14ac:dyDescent="0.25">
      <c r="B45" s="1362" t="s">
        <v>279</v>
      </c>
      <c r="C45" s="1411"/>
      <c r="D45" s="1366" t="s">
        <v>280</v>
      </c>
      <c r="E45" s="1379"/>
      <c r="F45" s="1379"/>
      <c r="G45" s="1379"/>
      <c r="H45" s="1379"/>
      <c r="I45" s="1379"/>
      <c r="J45" s="1379"/>
      <c r="K45" s="1379"/>
      <c r="L45" s="1379"/>
      <c r="M45" s="1379"/>
      <c r="N45" s="1379"/>
      <c r="O45" s="1379"/>
      <c r="P45" s="1379"/>
      <c r="Q45" s="1379"/>
      <c r="R45" s="1379"/>
      <c r="S45" s="1379"/>
      <c r="T45" s="1379"/>
      <c r="U45" s="1380"/>
      <c r="V45" s="1365"/>
      <c r="W45" s="1392" t="s">
        <v>281</v>
      </c>
      <c r="X45" s="1393"/>
      <c r="Y45" s="1393"/>
      <c r="Z45" s="1393"/>
      <c r="AA45" s="1393"/>
      <c r="AB45" s="1393"/>
      <c r="AC45" s="1393"/>
      <c r="AD45" s="1393"/>
      <c r="AE45" s="1393"/>
      <c r="AF45" s="1393"/>
      <c r="AG45" s="1393"/>
      <c r="AK45" s="222"/>
    </row>
    <row r="46" spans="2:41" x14ac:dyDescent="0.25">
      <c r="B46" s="1364"/>
      <c r="C46" s="1380"/>
      <c r="D46" s="200">
        <v>2018</v>
      </c>
      <c r="E46" s="1371">
        <v>2019</v>
      </c>
      <c r="F46" s="1372"/>
      <c r="G46" s="1372"/>
      <c r="H46" s="1373"/>
      <c r="I46" s="1371">
        <v>2020</v>
      </c>
      <c r="J46" s="1372"/>
      <c r="K46" s="1372"/>
      <c r="L46" s="1372"/>
      <c r="M46" s="1371">
        <v>2021</v>
      </c>
      <c r="N46" s="1372"/>
      <c r="O46" s="1372"/>
      <c r="P46" s="1372"/>
      <c r="Q46" s="1371">
        <v>2022</v>
      </c>
      <c r="R46" s="1403"/>
      <c r="S46" s="1403"/>
      <c r="T46" s="1403"/>
      <c r="U46" s="221"/>
      <c r="V46" s="270">
        <v>2023</v>
      </c>
      <c r="W46" s="272"/>
      <c r="X46" s="242"/>
      <c r="Y46" s="1368">
        <v>2024</v>
      </c>
      <c r="Z46" s="1369"/>
      <c r="AA46" s="1369"/>
      <c r="AB46" s="1370"/>
      <c r="AC46" s="1368">
        <v>2025</v>
      </c>
      <c r="AD46" s="1369"/>
      <c r="AE46" s="1369"/>
      <c r="AF46" s="1370"/>
      <c r="AG46" s="233">
        <v>2026</v>
      </c>
      <c r="AK46" s="222"/>
    </row>
    <row r="47" spans="2:41" x14ac:dyDescent="0.25">
      <c r="B47" s="1366"/>
      <c r="C47" s="1379"/>
      <c r="D47" s="195" t="s">
        <v>282</v>
      </c>
      <c r="E47" s="195" t="s">
        <v>283</v>
      </c>
      <c r="F47" s="196" t="s">
        <v>284</v>
      </c>
      <c r="G47" s="196" t="s">
        <v>238</v>
      </c>
      <c r="H47" s="197" t="s">
        <v>282</v>
      </c>
      <c r="I47" s="196" t="s">
        <v>283</v>
      </c>
      <c r="J47" s="196" t="s">
        <v>284</v>
      </c>
      <c r="K47" s="196" t="s">
        <v>238</v>
      </c>
      <c r="L47" s="196" t="s">
        <v>282</v>
      </c>
      <c r="M47" s="195" t="s">
        <v>283</v>
      </c>
      <c r="N47" s="196" t="s">
        <v>284</v>
      </c>
      <c r="O47" s="196" t="s">
        <v>238</v>
      </c>
      <c r="P47" s="196" t="s">
        <v>282</v>
      </c>
      <c r="Q47" s="195" t="s">
        <v>283</v>
      </c>
      <c r="R47" s="196" t="s">
        <v>284</v>
      </c>
      <c r="S47" s="196" t="s">
        <v>238</v>
      </c>
      <c r="T47" s="196" t="s">
        <v>282</v>
      </c>
      <c r="U47" s="267" t="s">
        <v>283</v>
      </c>
      <c r="V47" s="268" t="s">
        <v>284</v>
      </c>
      <c r="W47" s="252" t="s">
        <v>238</v>
      </c>
      <c r="X47" s="253" t="s">
        <v>282</v>
      </c>
      <c r="Y47" s="251" t="s">
        <v>283</v>
      </c>
      <c r="Z47" s="249" t="s">
        <v>284</v>
      </c>
      <c r="AA47" s="252" t="s">
        <v>238</v>
      </c>
      <c r="AB47" s="253" t="s">
        <v>282</v>
      </c>
      <c r="AC47" s="251" t="s">
        <v>283</v>
      </c>
      <c r="AD47" s="249" t="s">
        <v>284</v>
      </c>
      <c r="AE47" s="252" t="s">
        <v>238</v>
      </c>
      <c r="AF47" s="253" t="s">
        <v>282</v>
      </c>
      <c r="AG47" s="254" t="s">
        <v>283</v>
      </c>
      <c r="AK47" s="222"/>
    </row>
    <row r="48" spans="2:41" x14ac:dyDescent="0.25">
      <c r="B48" s="482" t="s">
        <v>134</v>
      </c>
      <c r="C48" s="255"/>
      <c r="D48" s="232"/>
      <c r="E48" s="476"/>
      <c r="F48" s="476"/>
      <c r="G48" s="476"/>
      <c r="H48" s="422">
        <f>Grants!H136</f>
        <v>72.156000000000006</v>
      </c>
      <c r="I48" s="422">
        <f>Grants!I136</f>
        <v>75.245999999999995</v>
      </c>
      <c r="J48" s="422">
        <f>Grants!J136</f>
        <v>75.986000000000004</v>
      </c>
      <c r="K48" s="422">
        <f>Grants!K136</f>
        <v>79.650999999999996</v>
      </c>
      <c r="L48" s="422">
        <f>Grants!L136</f>
        <v>75.400999999999996</v>
      </c>
      <c r="M48" s="422">
        <f>Grants!M136</f>
        <v>73.034999999999997</v>
      </c>
      <c r="N48" s="422">
        <f>Grants!N136</f>
        <v>75.13</v>
      </c>
      <c r="O48" s="422">
        <f>Grants!O136</f>
        <v>70.191999999999993</v>
      </c>
      <c r="P48" s="422">
        <f>Grants!P136</f>
        <v>72.266999999999996</v>
      </c>
      <c r="Q48" s="422">
        <f>Grants!Q136</f>
        <v>74.974000000000004</v>
      </c>
      <c r="R48" s="422">
        <f>Grants!R136</f>
        <v>75.229285714285723</v>
      </c>
      <c r="S48" s="477">
        <f>Grants!S136</f>
        <v>75.229285714285723</v>
      </c>
      <c r="T48" s="456">
        <f>Grants!T136</f>
        <v>76.048285714285726</v>
      </c>
      <c r="U48" s="207">
        <f>Grants!U136</f>
        <v>76.048285714285726</v>
      </c>
      <c r="V48" s="207">
        <f>Grants!V136</f>
        <v>76.048285714285726</v>
      </c>
      <c r="W48" s="207">
        <f>Grants!W136</f>
        <v>76.048285714285726</v>
      </c>
      <c r="X48" s="218">
        <f>Grants!X136</f>
        <v>77.707285714285717</v>
      </c>
      <c r="Y48" s="218">
        <f>Grants!Y136</f>
        <v>77.707285714285717</v>
      </c>
      <c r="Z48" s="218">
        <f>Grants!Z136</f>
        <v>77.707285714285717</v>
      </c>
      <c r="AA48" s="218">
        <f>Grants!AA136</f>
        <v>77.707285714285717</v>
      </c>
      <c r="AB48" s="218">
        <f>Grants!AB136</f>
        <v>79.301285714285726</v>
      </c>
      <c r="AC48" s="218">
        <f>Grants!AC136</f>
        <v>79.301285714285726</v>
      </c>
      <c r="AD48" s="218">
        <f>Grants!AD136</f>
        <v>75.229285714285723</v>
      </c>
      <c r="AE48" s="218">
        <f>Grants!AE136</f>
        <v>75.229285714285723</v>
      </c>
      <c r="AF48" s="218">
        <f>Grants!AF136</f>
        <v>75.229285714285723</v>
      </c>
      <c r="AG48" s="218">
        <f>Grants!AG136</f>
        <v>75.229285714285723</v>
      </c>
    </row>
    <row r="49" spans="2:62" x14ac:dyDescent="0.25">
      <c r="B49" s="473" t="s">
        <v>192</v>
      </c>
      <c r="C49" s="464"/>
      <c r="D49" s="454"/>
      <c r="E49" s="464"/>
      <c r="F49" s="464"/>
      <c r="G49" s="464"/>
      <c r="H49" s="207">
        <f>Grants!H96</f>
        <v>206.82899999999995</v>
      </c>
      <c r="I49" s="207">
        <f>Grants!I96</f>
        <v>214.11100000000005</v>
      </c>
      <c r="J49" s="207">
        <f>Grants!J96</f>
        <v>320.24999999999989</v>
      </c>
      <c r="K49" s="207">
        <f>Grants!K96</f>
        <v>298.13400000000001</v>
      </c>
      <c r="L49" s="207">
        <f>Grants!L96</f>
        <v>289.54399999999998</v>
      </c>
      <c r="M49" s="207">
        <f>Grants!M96</f>
        <v>320.34099999999995</v>
      </c>
      <c r="N49" s="207">
        <f>Grants!N96</f>
        <v>354.35800000000017</v>
      </c>
      <c r="O49" s="207">
        <f>Grants!O96</f>
        <v>375.57600000000008</v>
      </c>
      <c r="P49" s="207">
        <f>Grants!P96</f>
        <v>396.106852</v>
      </c>
      <c r="Q49" s="207">
        <f>Grants!Q96</f>
        <v>433.66327480000001</v>
      </c>
      <c r="R49" s="207">
        <f>Grants!R96</f>
        <v>500.88603199999994</v>
      </c>
      <c r="S49" s="207">
        <f>Grants!S96</f>
        <v>486.87586800000008</v>
      </c>
      <c r="T49" s="207">
        <f>Grants!T96</f>
        <v>445.45392800000008</v>
      </c>
      <c r="U49" s="451">
        <f>Grants!U96</f>
        <v>439.61154320000009</v>
      </c>
      <c r="V49" s="451">
        <f>Grants!V96</f>
        <v>429.15772000000004</v>
      </c>
      <c r="W49" s="451">
        <f>Grants!W96</f>
        <v>415.61894400000006</v>
      </c>
      <c r="X49" s="451">
        <f>Grants!X96</f>
        <v>427.53694400000006</v>
      </c>
      <c r="Y49" s="451">
        <f>Grants!Y96</f>
        <v>425.03897260832036</v>
      </c>
      <c r="Z49" s="451">
        <f>Grants!Z96</f>
        <v>405.0704277518426</v>
      </c>
      <c r="AA49" s="451">
        <f>Grants!AA96</f>
        <v>409.42293694667461</v>
      </c>
      <c r="AB49" s="451">
        <f>Grants!AB96</f>
        <v>414.0652857</v>
      </c>
      <c r="AC49" s="451">
        <f>Grants!AC96</f>
        <v>397.1246120326532</v>
      </c>
      <c r="AD49" s="451">
        <f>Grants!AD96</f>
        <v>392.34043100191627</v>
      </c>
      <c r="AE49" s="451">
        <f>Grants!AE96</f>
        <v>394.75671922454154</v>
      </c>
      <c r="AF49" s="451">
        <f>Grants!AF96</f>
        <v>393.31111720000007</v>
      </c>
      <c r="AG49" s="451">
        <f>Grants!AG96</f>
        <v>268.27507963395931</v>
      </c>
    </row>
    <row r="50" spans="2:62" x14ac:dyDescent="0.25">
      <c r="B50" s="483" t="s">
        <v>403</v>
      </c>
      <c r="C50" s="475"/>
      <c r="D50" s="474"/>
      <c r="E50" s="475"/>
      <c r="F50" s="475"/>
      <c r="G50" s="475"/>
      <c r="H50" s="457">
        <f>H48+H49</f>
        <v>278.98499999999996</v>
      </c>
      <c r="I50" s="457">
        <f t="shared" ref="I50:AG50" si="13">I48+I49</f>
        <v>289.35700000000003</v>
      </c>
      <c r="J50" s="457">
        <f t="shared" si="13"/>
        <v>396.23599999999988</v>
      </c>
      <c r="K50" s="457">
        <f t="shared" si="13"/>
        <v>377.78500000000003</v>
      </c>
      <c r="L50" s="457">
        <f t="shared" si="13"/>
        <v>364.94499999999999</v>
      </c>
      <c r="M50" s="457">
        <f t="shared" si="13"/>
        <v>393.37599999999998</v>
      </c>
      <c r="N50" s="457">
        <f t="shared" si="13"/>
        <v>429.48800000000017</v>
      </c>
      <c r="O50" s="457">
        <f t="shared" si="13"/>
        <v>445.76800000000009</v>
      </c>
      <c r="P50" s="457">
        <f t="shared" si="13"/>
        <v>468.373852</v>
      </c>
      <c r="Q50" s="457">
        <f t="shared" si="13"/>
        <v>508.6372748</v>
      </c>
      <c r="R50" s="457">
        <f t="shared" si="13"/>
        <v>576.11531771428565</v>
      </c>
      <c r="S50" s="457">
        <f t="shared" si="13"/>
        <v>562.10515371428585</v>
      </c>
      <c r="T50" s="457">
        <f t="shared" si="13"/>
        <v>521.50221371428574</v>
      </c>
      <c r="U50" s="457">
        <f t="shared" si="13"/>
        <v>515.65982891428575</v>
      </c>
      <c r="V50" s="207">
        <f t="shared" si="13"/>
        <v>505.20600571428577</v>
      </c>
      <c r="W50" s="207">
        <f t="shared" si="13"/>
        <v>491.66722971428578</v>
      </c>
      <c r="X50" s="218">
        <f t="shared" si="13"/>
        <v>505.24422971428578</v>
      </c>
      <c r="Y50" s="218">
        <f t="shared" si="13"/>
        <v>502.74625832260608</v>
      </c>
      <c r="Z50" s="218">
        <f t="shared" si="13"/>
        <v>482.77771346612832</v>
      </c>
      <c r="AA50" s="218">
        <f t="shared" si="13"/>
        <v>487.13022266096033</v>
      </c>
      <c r="AB50" s="218">
        <f t="shared" si="13"/>
        <v>493.36657141428572</v>
      </c>
      <c r="AC50" s="218">
        <f t="shared" si="13"/>
        <v>476.42589774693892</v>
      </c>
      <c r="AD50" s="218">
        <f t="shared" si="13"/>
        <v>467.56971671620198</v>
      </c>
      <c r="AE50" s="218">
        <f t="shared" si="13"/>
        <v>469.98600493882725</v>
      </c>
      <c r="AF50" s="218">
        <f t="shared" si="13"/>
        <v>468.54040291428578</v>
      </c>
      <c r="AG50" s="218">
        <f t="shared" si="13"/>
        <v>343.50436534824502</v>
      </c>
    </row>
    <row r="52" spans="2:62" x14ac:dyDescent="0.25">
      <c r="S52" s="145"/>
      <c r="T52" s="145"/>
      <c r="U52" s="145"/>
      <c r="V52" s="145"/>
      <c r="W52" s="145"/>
      <c r="X52" s="145"/>
      <c r="Y52" s="145"/>
      <c r="Z52" s="145"/>
      <c r="AA52" s="145"/>
      <c r="AB52" s="145"/>
      <c r="AC52" s="145"/>
      <c r="AD52" s="145"/>
      <c r="AE52" s="145"/>
      <c r="AF52" s="145"/>
      <c r="AG52" s="145"/>
    </row>
    <row r="53" spans="2:62" x14ac:dyDescent="0.25">
      <c r="S53" s="145"/>
      <c r="T53" s="145"/>
      <c r="U53" s="145"/>
      <c r="V53" s="145"/>
      <c r="W53" s="145"/>
      <c r="X53" s="145"/>
      <c r="Y53" s="145"/>
      <c r="Z53" s="145"/>
      <c r="AA53" s="145"/>
      <c r="AB53" s="145"/>
      <c r="AC53" s="145"/>
      <c r="AD53" s="145"/>
      <c r="AE53" s="145"/>
      <c r="AF53" s="145"/>
      <c r="AG53" s="145"/>
    </row>
    <row r="54" spans="2:62" ht="27.6" customHeight="1" x14ac:dyDescent="0.25">
      <c r="S54" s="145"/>
      <c r="T54" s="145"/>
      <c r="U54" s="145"/>
      <c r="V54" s="145"/>
      <c r="W54" s="145"/>
      <c r="X54" s="145"/>
      <c r="Y54" s="145"/>
      <c r="Z54" s="145"/>
      <c r="AA54" s="145"/>
      <c r="AB54" s="145"/>
      <c r="AC54" s="145"/>
      <c r="AD54" s="145"/>
      <c r="AE54" s="145"/>
      <c r="AF54" s="145"/>
      <c r="AG54" s="145"/>
    </row>
    <row r="55" spans="2:62" ht="27.6" customHeight="1" x14ac:dyDescent="0.25"/>
    <row r="56" spans="2:62" ht="27.6" customHeight="1" x14ac:dyDescent="0.25">
      <c r="BH56" s="429"/>
      <c r="BI56" s="429"/>
      <c r="BJ56" s="429"/>
    </row>
    <row r="58" spans="2:62" ht="27.6" customHeight="1" x14ac:dyDescent="0.25"/>
    <row r="59" spans="2:62" ht="27.6" customHeight="1" x14ac:dyDescent="0.25"/>
    <row r="60" spans="2:62" ht="27.6" customHeight="1" x14ac:dyDescent="0.2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J14" activePane="bottomRight" state="frozen"/>
      <selection pane="topRight" activeCell="D1" sqref="D1"/>
      <selection pane="bottomLeft" activeCell="A11" sqref="A11"/>
      <selection pane="bottomRight" activeCell="X46" sqref="X46"/>
    </sheetView>
  </sheetViews>
  <sheetFormatPr defaultColWidth="10.85546875" defaultRowHeight="15" x14ac:dyDescent="0.25"/>
  <cols>
    <col min="2" max="2" width="49.42578125" customWidth="1"/>
    <col min="6" max="25" width="6.42578125" customWidth="1"/>
    <col min="27" max="27" width="10.140625" customWidth="1"/>
  </cols>
  <sheetData>
    <row r="1" spans="2:36" x14ac:dyDescent="0.25">
      <c r="B1" s="1357" t="s">
        <v>52</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6" ht="14.85" customHeight="1" x14ac:dyDescent="0.25">
      <c r="B2" s="1358" t="s">
        <v>861</v>
      </c>
      <c r="C2" s="1358"/>
      <c r="D2" s="1358"/>
      <c r="E2" s="1358"/>
      <c r="F2" s="1358"/>
      <c r="G2" s="1358"/>
      <c r="H2" s="1358"/>
      <c r="I2" s="1358"/>
      <c r="J2" s="1358"/>
      <c r="K2" s="1358"/>
      <c r="L2" s="1358"/>
      <c r="M2" s="1358"/>
      <c r="N2" s="1358"/>
      <c r="O2" s="1358"/>
      <c r="P2" s="1358"/>
      <c r="Q2" s="1358"/>
      <c r="R2" s="1358"/>
      <c r="S2" s="1358"/>
      <c r="T2" s="1358"/>
      <c r="U2" s="1358"/>
      <c r="V2" s="1358"/>
      <c r="W2" s="1358"/>
      <c r="X2" s="1358"/>
      <c r="Y2" s="1358"/>
      <c r="Z2" s="1358"/>
      <c r="AA2" s="1358"/>
      <c r="AB2" s="1358"/>
      <c r="AC2" s="1358"/>
    </row>
    <row r="3" spans="2:36" ht="14.85" customHeight="1" x14ac:dyDescent="0.25">
      <c r="B3" s="1358"/>
      <c r="C3" s="1358"/>
      <c r="D3" s="1358"/>
      <c r="E3" s="1358"/>
      <c r="F3" s="1358"/>
      <c r="G3" s="1358"/>
      <c r="H3" s="1358"/>
      <c r="I3" s="1358"/>
      <c r="J3" s="1358"/>
      <c r="K3" s="1358"/>
      <c r="L3" s="1358"/>
      <c r="M3" s="1358"/>
      <c r="N3" s="1358"/>
      <c r="O3" s="1358"/>
      <c r="P3" s="1358"/>
      <c r="Q3" s="1358"/>
      <c r="R3" s="1358"/>
      <c r="S3" s="1358"/>
      <c r="T3" s="1358"/>
      <c r="U3" s="1358"/>
      <c r="V3" s="1358"/>
      <c r="W3" s="1358"/>
      <c r="X3" s="1358"/>
      <c r="Y3" s="1358"/>
      <c r="Z3" s="1358"/>
      <c r="AA3" s="1358"/>
      <c r="AB3" s="1358"/>
      <c r="AC3" s="1358"/>
    </row>
    <row r="4" spans="2:36" ht="5.85" customHeight="1" x14ac:dyDescent="0.25">
      <c r="B4" s="1358"/>
      <c r="C4" s="1358"/>
      <c r="D4" s="1358"/>
      <c r="E4" s="1358"/>
      <c r="F4" s="1358"/>
      <c r="G4" s="1358"/>
      <c r="H4" s="1358"/>
      <c r="I4" s="1358"/>
      <c r="J4" s="1358"/>
      <c r="K4" s="1358"/>
      <c r="L4" s="1358"/>
      <c r="M4" s="1358"/>
      <c r="N4" s="1358"/>
      <c r="O4" s="1358"/>
      <c r="P4" s="1358"/>
      <c r="Q4" s="1358"/>
      <c r="R4" s="1358"/>
      <c r="S4" s="1358"/>
      <c r="T4" s="1358"/>
      <c r="U4" s="1358"/>
      <c r="V4" s="1358"/>
      <c r="W4" s="1358"/>
      <c r="X4" s="1358"/>
      <c r="Y4" s="1358"/>
      <c r="Z4" s="1358"/>
      <c r="AA4" s="1358"/>
      <c r="AB4" s="1358"/>
      <c r="AC4" s="1358"/>
    </row>
    <row r="5" spans="2:36" ht="1.5" customHeight="1" x14ac:dyDescent="0.25">
      <c r="B5" s="1358"/>
      <c r="C5" s="1358"/>
      <c r="D5" s="1358"/>
      <c r="E5" s="1358"/>
      <c r="F5" s="1358"/>
      <c r="G5" s="1358"/>
      <c r="H5" s="1358"/>
      <c r="I5" s="1358"/>
      <c r="J5" s="1358"/>
      <c r="K5" s="1358"/>
      <c r="L5" s="1358"/>
      <c r="M5" s="1358"/>
      <c r="N5" s="1358"/>
      <c r="O5" s="1358"/>
      <c r="P5" s="1358"/>
      <c r="Q5" s="1358"/>
      <c r="R5" s="1358"/>
      <c r="S5" s="1358"/>
      <c r="T5" s="1358"/>
      <c r="U5" s="1358"/>
      <c r="V5" s="1358"/>
      <c r="W5" s="1358"/>
      <c r="X5" s="1358"/>
      <c r="Y5" s="1358"/>
      <c r="Z5" s="1358"/>
      <c r="AA5" s="1358"/>
      <c r="AB5" s="1358"/>
      <c r="AC5" s="1358"/>
    </row>
    <row r="6" spans="2:36" ht="14.85" customHeight="1" x14ac:dyDescent="0.25">
      <c r="B6" s="1358"/>
      <c r="C6" s="1358"/>
      <c r="D6" s="1358"/>
      <c r="E6" s="1358"/>
      <c r="F6" s="1358"/>
      <c r="G6" s="1358"/>
      <c r="H6" s="1358"/>
      <c r="I6" s="1358"/>
      <c r="J6" s="1358"/>
      <c r="K6" s="1358"/>
      <c r="L6" s="1358"/>
      <c r="M6" s="1358"/>
      <c r="N6" s="1358"/>
      <c r="O6" s="1358"/>
      <c r="P6" s="1358"/>
      <c r="Q6" s="1358"/>
      <c r="R6" s="1358"/>
      <c r="S6" s="1358"/>
      <c r="T6" s="1358"/>
      <c r="U6" s="1358"/>
      <c r="V6" s="1358"/>
      <c r="W6" s="1358"/>
      <c r="X6" s="1358"/>
      <c r="Y6" s="1358"/>
      <c r="Z6" s="1358"/>
      <c r="AA6" s="1358"/>
      <c r="AB6" s="1358"/>
      <c r="AC6" s="1358"/>
    </row>
    <row r="7" spans="2:36"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36" ht="14.85" customHeight="1" x14ac:dyDescent="0.25">
      <c r="B8" s="1362" t="s">
        <v>404</v>
      </c>
      <c r="C8" s="1363"/>
      <c r="D8" s="1427" t="s">
        <v>280</v>
      </c>
      <c r="E8" s="1428"/>
      <c r="F8" s="1428"/>
      <c r="G8" s="1428"/>
      <c r="H8" s="1428"/>
      <c r="I8" s="1428"/>
      <c r="J8" s="1428"/>
      <c r="K8" s="1428"/>
      <c r="L8" s="1428"/>
      <c r="M8" s="1428"/>
      <c r="N8" s="1428"/>
      <c r="O8" s="1428"/>
      <c r="P8" s="1428"/>
      <c r="Q8" s="1428"/>
      <c r="R8" s="1428"/>
      <c r="S8" s="1428"/>
      <c r="T8" s="1428"/>
      <c r="U8" s="1429"/>
      <c r="V8" s="1363"/>
      <c r="W8" s="1390" t="s">
        <v>281</v>
      </c>
      <c r="X8" s="1391"/>
      <c r="Y8" s="1391"/>
      <c r="Z8" s="1391"/>
      <c r="AA8" s="1391"/>
      <c r="AB8" s="1391"/>
      <c r="AC8" s="1391"/>
      <c r="AD8" s="1391"/>
      <c r="AE8" s="1391"/>
      <c r="AF8" s="1391"/>
      <c r="AG8" s="1391"/>
    </row>
    <row r="9" spans="2:36" x14ac:dyDescent="0.25">
      <c r="B9" s="1364"/>
      <c r="C9" s="1365"/>
      <c r="D9" s="195">
        <v>2018</v>
      </c>
      <c r="E9" s="1359">
        <v>2019</v>
      </c>
      <c r="F9" s="1360"/>
      <c r="G9" s="1360"/>
      <c r="H9" s="1361"/>
      <c r="I9" s="1359">
        <v>2020</v>
      </c>
      <c r="J9" s="1360"/>
      <c r="K9" s="1360"/>
      <c r="L9" s="1360"/>
      <c r="M9" s="1359">
        <v>2021</v>
      </c>
      <c r="N9" s="1360"/>
      <c r="O9" s="1360"/>
      <c r="P9" s="1360"/>
      <c r="Q9" s="1371">
        <v>2022</v>
      </c>
      <c r="R9" s="1403"/>
      <c r="S9" s="1403"/>
      <c r="T9" s="1403"/>
      <c r="U9" s="221"/>
      <c r="V9" s="270">
        <v>2023</v>
      </c>
      <c r="W9" s="272"/>
      <c r="X9" s="242"/>
      <c r="Y9" s="1368">
        <v>2024</v>
      </c>
      <c r="Z9" s="1381"/>
      <c r="AA9" s="1381"/>
      <c r="AB9" s="1370"/>
      <c r="AC9" s="1368">
        <v>2025</v>
      </c>
      <c r="AD9" s="1381"/>
      <c r="AE9" s="1381"/>
      <c r="AF9" s="1370"/>
      <c r="AG9" s="498">
        <v>2026</v>
      </c>
      <c r="AH9" s="222"/>
      <c r="AI9" s="222"/>
      <c r="AJ9" s="222"/>
    </row>
    <row r="10" spans="2:36" x14ac:dyDescent="0.25">
      <c r="B10" s="1366"/>
      <c r="C10" s="1367"/>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6" t="s">
        <v>282</v>
      </c>
      <c r="U10" s="267" t="s">
        <v>283</v>
      </c>
      <c r="V10" s="268" t="s">
        <v>284</v>
      </c>
      <c r="W10" s="252" t="s">
        <v>238</v>
      </c>
      <c r="X10" s="253" t="s">
        <v>282</v>
      </c>
      <c r="Y10" s="251" t="s">
        <v>283</v>
      </c>
      <c r="Z10" s="249" t="s">
        <v>284</v>
      </c>
      <c r="AA10" s="252" t="s">
        <v>238</v>
      </c>
      <c r="AB10" s="252" t="s">
        <v>282</v>
      </c>
      <c r="AC10" s="251" t="s">
        <v>283</v>
      </c>
      <c r="AD10" s="249" t="s">
        <v>284</v>
      </c>
      <c r="AE10" s="252" t="s">
        <v>238</v>
      </c>
      <c r="AF10" s="252" t="s">
        <v>282</v>
      </c>
      <c r="AG10" s="251" t="s">
        <v>283</v>
      </c>
    </row>
    <row r="11" spans="2:36" x14ac:dyDescent="0.25">
      <c r="B11" s="520" t="s">
        <v>867</v>
      </c>
      <c r="C11" s="69" t="s">
        <v>522</v>
      </c>
      <c r="D11" s="486"/>
      <c r="E11" s="526"/>
      <c r="F11" s="530">
        <v>60.5</v>
      </c>
      <c r="G11" s="530">
        <v>81.400000000000006</v>
      </c>
      <c r="H11" s="530">
        <f>'Haver Pivoted'!GS42</f>
        <v>82.1</v>
      </c>
      <c r="I11" s="530">
        <f>'Haver Pivoted'!GT42</f>
        <v>80</v>
      </c>
      <c r="J11" s="530">
        <f>'Haver Pivoted'!GU42</f>
        <v>975.8</v>
      </c>
      <c r="K11" s="530">
        <f>'Haver Pivoted'!GV42</f>
        <v>1108.4000000000001</v>
      </c>
      <c r="L11" s="530">
        <f>'Haver Pivoted'!GW42</f>
        <v>460.7</v>
      </c>
      <c r="M11" s="530">
        <f>'Haver Pivoted'!GX42</f>
        <v>385.5</v>
      </c>
      <c r="N11" s="530">
        <f>'Haver Pivoted'!GY42</f>
        <v>692.7</v>
      </c>
      <c r="O11" s="530">
        <f>'Haver Pivoted'!GZ42</f>
        <v>547.1</v>
      </c>
      <c r="P11" s="530">
        <f>'Haver Pivoted'!HA42</f>
        <v>293.2</v>
      </c>
      <c r="Q11" s="530">
        <f>'Haver Pivoted'!HB42</f>
        <v>151.4</v>
      </c>
      <c r="R11" s="530">
        <f>'Haver Pivoted'!HC42</f>
        <v>129.5</v>
      </c>
      <c r="S11" s="531">
        <f>'Haver Pivoted'!HD42</f>
        <v>117.7</v>
      </c>
      <c r="T11" s="531">
        <f>'Haver Pivoted'!HE42</f>
        <v>108.6</v>
      </c>
      <c r="U11" s="316">
        <f>'Haver Pivoted'!HF42</f>
        <v>100.7</v>
      </c>
      <c r="V11" s="316">
        <f>'Haver Pivoted'!HG42</f>
        <v>99.2</v>
      </c>
      <c r="W11" s="316">
        <f>'Haver Pivoted'!HH42</f>
        <v>102.4</v>
      </c>
      <c r="X11" s="316">
        <f>'Haver Pivoted'!HI42</f>
        <v>99.3</v>
      </c>
      <c r="Y11" s="539">
        <f t="shared" ref="Y11:AC11" si="0">Y12+Y13</f>
        <v>99.631</v>
      </c>
      <c r="Z11" s="539">
        <f t="shared" si="0"/>
        <v>99.631</v>
      </c>
      <c r="AA11" s="539">
        <f t="shared" si="0"/>
        <v>99.631</v>
      </c>
      <c r="AB11" s="539">
        <f t="shared" si="0"/>
        <v>104.464</v>
      </c>
      <c r="AC11" s="505">
        <f t="shared" si="0"/>
        <v>104.464</v>
      </c>
      <c r="AD11" s="505">
        <f t="shared" ref="AD11:AE11" si="1">AD12+AD13</f>
        <v>97.442000000000007</v>
      </c>
      <c r="AE11" s="505">
        <f t="shared" si="1"/>
        <v>98.442000000000007</v>
      </c>
      <c r="AF11" s="505">
        <f t="shared" ref="AF11:AG11" si="2">AF12+AF13</f>
        <v>102.532</v>
      </c>
      <c r="AG11" s="505">
        <f t="shared" si="2"/>
        <v>103.532</v>
      </c>
    </row>
    <row r="12" spans="2:36" ht="16.5" customHeight="1" x14ac:dyDescent="0.25">
      <c r="B12" s="413" t="s">
        <v>405</v>
      </c>
      <c r="C12" s="69"/>
      <c r="D12" s="520"/>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16">
        <f t="shared" si="4"/>
        <v>75</v>
      </c>
      <c r="T12" s="316">
        <f t="shared" si="4"/>
        <v>76.777999999999992</v>
      </c>
      <c r="U12" s="316">
        <f t="shared" ref="U12:V12" si="5">U11-U13</f>
        <v>88.192000000000007</v>
      </c>
      <c r="V12" s="316">
        <f t="shared" si="5"/>
        <v>86.692000000000007</v>
      </c>
      <c r="W12" s="316">
        <f>W11-W13</f>
        <v>89.891999999999996</v>
      </c>
      <c r="X12" s="316">
        <f>X11-X13</f>
        <v>89.668999999999997</v>
      </c>
      <c r="Y12" s="321">
        <v>90</v>
      </c>
      <c r="Z12" s="321">
        <f>Y12</f>
        <v>90</v>
      </c>
      <c r="AA12" s="321">
        <f t="shared" ref="AA12:AG12" si="6">Z12</f>
        <v>90</v>
      </c>
      <c r="AB12" s="321">
        <f t="shared" si="6"/>
        <v>90</v>
      </c>
      <c r="AC12" s="321">
        <f t="shared" si="6"/>
        <v>90</v>
      </c>
      <c r="AD12" s="321">
        <f t="shared" si="6"/>
        <v>90</v>
      </c>
      <c r="AE12" s="321">
        <f t="shared" si="6"/>
        <v>90</v>
      </c>
      <c r="AF12" s="321">
        <f t="shared" si="6"/>
        <v>90</v>
      </c>
      <c r="AG12" s="321">
        <f t="shared" si="6"/>
        <v>90</v>
      </c>
    </row>
    <row r="13" spans="2:36" x14ac:dyDescent="0.25">
      <c r="B13" s="412" t="s">
        <v>406</v>
      </c>
      <c r="C13" s="69"/>
      <c r="D13" s="520"/>
      <c r="E13" s="69"/>
      <c r="F13" s="528"/>
      <c r="G13" s="52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21">
        <f t="shared" si="8"/>
        <v>9.6310000000000002</v>
      </c>
      <c r="Z13" s="321">
        <f t="shared" si="8"/>
        <v>9.6310000000000002</v>
      </c>
      <c r="AA13" s="321">
        <f t="shared" si="8"/>
        <v>9.6310000000000002</v>
      </c>
      <c r="AB13" s="321">
        <f t="shared" si="8"/>
        <v>14.464</v>
      </c>
      <c r="AC13" s="321">
        <f t="shared" si="8"/>
        <v>14.464</v>
      </c>
      <c r="AD13" s="321">
        <f t="shared" ref="AD13:AE13" si="9">SUM(AD16:AD27)+AD14</f>
        <v>7.4420000000000002</v>
      </c>
      <c r="AE13" s="321">
        <f t="shared" si="9"/>
        <v>8.4420000000000002</v>
      </c>
      <c r="AF13" s="321">
        <f t="shared" ref="AF13:AG13" si="10">SUM(AF16:AF27)+AF14</f>
        <v>12.532</v>
      </c>
      <c r="AG13" s="321">
        <f t="shared" si="10"/>
        <v>13.532</v>
      </c>
    </row>
    <row r="14" spans="2:36" x14ac:dyDescent="0.25">
      <c r="B14" s="350" t="s">
        <v>50</v>
      </c>
      <c r="C14" s="49" t="s">
        <v>329</v>
      </c>
      <c r="D14" s="346"/>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6">
        <f>'Haver Pivoted'!HD49</f>
        <v>0</v>
      </c>
      <c r="T14" s="316">
        <f>'Haver Pivoted'!HE49</f>
        <v>0</v>
      </c>
      <c r="U14" s="316">
        <f>'Haver Pivoted'!HF49</f>
        <v>0</v>
      </c>
      <c r="V14" s="316">
        <f>'Haver Pivoted'!HG49</f>
        <v>0</v>
      </c>
      <c r="W14" s="540">
        <f>'Haver Pivoted'!HH49</f>
        <v>0</v>
      </c>
      <c r="X14" s="540">
        <f>'Haver Pivoted'!HI49</f>
        <v>0</v>
      </c>
      <c r="Y14" s="321"/>
      <c r="Z14" s="500"/>
      <c r="AA14" s="500"/>
      <c r="AB14" s="500"/>
      <c r="AC14" s="500"/>
      <c r="AD14" s="500"/>
      <c r="AE14" s="500"/>
      <c r="AF14" s="500"/>
      <c r="AG14" s="500"/>
    </row>
    <row r="15" spans="2:36" x14ac:dyDescent="0.25">
      <c r="B15" s="412" t="s">
        <v>407</v>
      </c>
      <c r="C15" s="69"/>
      <c r="D15" s="520"/>
      <c r="E15" s="69"/>
      <c r="F15" s="528"/>
      <c r="G15" s="52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89">
        <f t="shared" si="11"/>
        <v>8.886000000000001</v>
      </c>
      <c r="X15" s="68">
        <f t="shared" si="11"/>
        <v>0.2</v>
      </c>
      <c r="Y15" s="506">
        <f t="shared" si="11"/>
        <v>0.2</v>
      </c>
      <c r="Z15" s="506">
        <f t="shared" si="11"/>
        <v>0.2</v>
      </c>
      <c r="AA15" s="506">
        <f t="shared" si="11"/>
        <v>0.2</v>
      </c>
      <c r="AB15" s="506">
        <f t="shared" si="11"/>
        <v>0</v>
      </c>
      <c r="AC15" s="506">
        <f t="shared" si="11"/>
        <v>0</v>
      </c>
      <c r="AD15" s="506">
        <f t="shared" ref="AD15:AE15" si="12">SUM(AD16:AD25)</f>
        <v>1</v>
      </c>
      <c r="AE15" s="506">
        <f t="shared" si="12"/>
        <v>2</v>
      </c>
      <c r="AF15" s="506">
        <f t="shared" ref="AF15:AG15" si="13">SUM(AF16:AF25)</f>
        <v>3</v>
      </c>
      <c r="AG15" s="506">
        <f t="shared" si="13"/>
        <v>4</v>
      </c>
    </row>
    <row r="16" spans="2:36" x14ac:dyDescent="0.25">
      <c r="B16" s="516" t="s">
        <v>145</v>
      </c>
      <c r="C16" s="52" t="s">
        <v>408</v>
      </c>
      <c r="D16" s="41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6">
        <f>'Haver Pivoted'!HD53</f>
        <v>0</v>
      </c>
      <c r="T16" s="316">
        <f>'Haver Pivoted'!HE53</f>
        <v>0</v>
      </c>
      <c r="U16" s="316">
        <f>'Haver Pivoted'!HF53</f>
        <v>0</v>
      </c>
      <c r="V16" s="316">
        <f>'Haver Pivoted'!HG53</f>
        <v>0</v>
      </c>
      <c r="W16" s="540">
        <f>'Haver Pivoted'!HH53</f>
        <v>0</v>
      </c>
      <c r="X16" s="540">
        <f>'Haver Pivoted'!HI53</f>
        <v>0</v>
      </c>
      <c r="Y16" s="534"/>
      <c r="Z16" s="500"/>
      <c r="AA16" s="500"/>
      <c r="AB16" s="500"/>
      <c r="AC16" s="500"/>
      <c r="AD16" s="500"/>
      <c r="AE16" s="500"/>
      <c r="AF16" s="500"/>
      <c r="AG16" s="500"/>
    </row>
    <row r="17" spans="2:34" x14ac:dyDescent="0.25">
      <c r="B17" s="516" t="s">
        <v>143</v>
      </c>
      <c r="C17" s="52" t="s">
        <v>409</v>
      </c>
      <c r="D17" s="41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6">
        <f>'Haver Pivoted'!HD51</f>
        <v>0</v>
      </c>
      <c r="T17" s="316">
        <f>'Haver Pivoted'!HE51</f>
        <v>0</v>
      </c>
      <c r="U17" s="316">
        <f>'Haver Pivoted'!HF51</f>
        <v>0</v>
      </c>
      <c r="V17" s="316">
        <f>'Haver Pivoted'!HG51</f>
        <v>0</v>
      </c>
      <c r="W17" s="540">
        <f>'Haver Pivoted'!HH51</f>
        <v>0</v>
      </c>
      <c r="X17" s="540">
        <f>'Haver Pivoted'!HI51</f>
        <v>0</v>
      </c>
      <c r="Y17" s="321">
        <f t="shared" ref="Y17:AD17" si="14">X17</f>
        <v>0</v>
      </c>
      <c r="Z17" s="321">
        <f t="shared" si="14"/>
        <v>0</v>
      </c>
      <c r="AA17" s="321">
        <f t="shared" si="14"/>
        <v>0</v>
      </c>
      <c r="AB17" s="321">
        <f t="shared" si="14"/>
        <v>0</v>
      </c>
      <c r="AC17" s="321">
        <f t="shared" si="14"/>
        <v>0</v>
      </c>
      <c r="AD17" s="321">
        <f t="shared" si="14"/>
        <v>0</v>
      </c>
      <c r="AE17" s="321">
        <f t="shared" ref="AE17" si="15">AD17</f>
        <v>0</v>
      </c>
      <c r="AF17" s="321">
        <f t="shared" ref="AF17" si="16">AE17</f>
        <v>0</v>
      </c>
      <c r="AG17" s="321">
        <f t="shared" ref="AG17" si="17">AF17</f>
        <v>0</v>
      </c>
    </row>
    <row r="18" spans="2:34" x14ac:dyDescent="0.25">
      <c r="B18" s="516" t="s">
        <v>142</v>
      </c>
      <c r="C18" s="49" t="s">
        <v>410</v>
      </c>
      <c r="D18" s="346"/>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6">
        <f>'Haver Pivoted'!HD50</f>
        <v>0.3</v>
      </c>
      <c r="T18" s="316">
        <f>'Haver Pivoted'!HE50</f>
        <v>0.4</v>
      </c>
      <c r="U18" s="316">
        <f>'Haver Pivoted'!HF50</f>
        <v>0</v>
      </c>
      <c r="V18" s="316">
        <f>'Haver Pivoted'!HG50</f>
        <v>0</v>
      </c>
      <c r="W18" s="540">
        <f>'Haver Pivoted'!HH50</f>
        <v>0</v>
      </c>
      <c r="X18" s="540">
        <f>'Haver Pivoted'!HI50</f>
        <v>0</v>
      </c>
      <c r="Y18" s="321">
        <f t="shared" ref="Y18:AC18" si="18">Y30</f>
        <v>0</v>
      </c>
      <c r="Z18" s="321">
        <f t="shared" si="18"/>
        <v>0</v>
      </c>
      <c r="AA18" s="321">
        <f t="shared" si="18"/>
        <v>0</v>
      </c>
      <c r="AB18" s="321">
        <f t="shared" si="18"/>
        <v>0</v>
      </c>
      <c r="AC18" s="321">
        <f t="shared" si="18"/>
        <v>0</v>
      </c>
      <c r="AD18" s="321">
        <f t="shared" ref="AD18:AE18" si="19">AD30</f>
        <v>0</v>
      </c>
      <c r="AE18" s="321">
        <f t="shared" si="19"/>
        <v>0</v>
      </c>
      <c r="AF18" s="321">
        <f t="shared" ref="AF18:AG18" si="20">AF30</f>
        <v>0</v>
      </c>
      <c r="AG18" s="321">
        <f t="shared" si="20"/>
        <v>0</v>
      </c>
    </row>
    <row r="19" spans="2:34" x14ac:dyDescent="0.25">
      <c r="B19" s="516" t="s">
        <v>411</v>
      </c>
      <c r="C19" s="49" t="s">
        <v>309</v>
      </c>
      <c r="D19" s="346"/>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6">
        <f>'Haver Pivoted'!HD54</f>
        <v>5.9</v>
      </c>
      <c r="T19" s="316">
        <f>'Haver Pivoted'!HE54</f>
        <v>3.6</v>
      </c>
      <c r="U19" s="316">
        <f>'Haver Pivoted'!HF54</f>
        <v>0</v>
      </c>
      <c r="V19" s="316">
        <f>'Haver Pivoted'!HG54</f>
        <v>0</v>
      </c>
      <c r="W19" s="540">
        <f>'Haver Pivoted'!HH54</f>
        <v>0</v>
      </c>
      <c r="X19" s="540">
        <f>'Haver Pivoted'!HI54</f>
        <v>0</v>
      </c>
      <c r="Y19" s="321"/>
      <c r="Z19" s="500"/>
      <c r="AA19" s="500"/>
      <c r="AB19" s="500"/>
      <c r="AC19" s="500"/>
      <c r="AD19" s="500"/>
      <c r="AE19" s="500"/>
      <c r="AF19" s="500"/>
      <c r="AG19" s="500"/>
    </row>
    <row r="20" spans="2:34" x14ac:dyDescent="0.25">
      <c r="B20" s="516" t="s">
        <v>144</v>
      </c>
      <c r="C20" s="49" t="s">
        <v>412</v>
      </c>
      <c r="D20" s="346"/>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16">
        <f>'Haver Pivoted'!HD52</f>
        <v>20.2</v>
      </c>
      <c r="T20" s="316">
        <f>'Haver Pivoted'!HE52</f>
        <v>15.8</v>
      </c>
      <c r="U20" s="50">
        <f t="shared" ref="U20:AC20" si="21">U37</f>
        <v>0.48599999999999993</v>
      </c>
      <c r="V20" s="50">
        <f t="shared" si="21"/>
        <v>0.48599999999999993</v>
      </c>
      <c r="W20" s="389">
        <f t="shared" si="21"/>
        <v>0.48599999999999993</v>
      </c>
      <c r="X20" s="50">
        <f t="shared" si="21"/>
        <v>0</v>
      </c>
      <c r="Y20" s="321">
        <f t="shared" si="21"/>
        <v>0</v>
      </c>
      <c r="Z20" s="321">
        <f t="shared" si="21"/>
        <v>0</v>
      </c>
      <c r="AA20" s="321">
        <f t="shared" si="21"/>
        <v>0</v>
      </c>
      <c r="AB20" s="321">
        <f t="shared" si="21"/>
        <v>0</v>
      </c>
      <c r="AC20" s="321">
        <f t="shared" si="21"/>
        <v>0</v>
      </c>
      <c r="AD20" s="321">
        <f t="shared" ref="AD20:AE20" si="22">AD37</f>
        <v>0</v>
      </c>
      <c r="AE20" s="321">
        <f t="shared" si="22"/>
        <v>0</v>
      </c>
      <c r="AF20" s="321">
        <f t="shared" ref="AF20:AG20" si="23">AF37</f>
        <v>0</v>
      </c>
      <c r="AG20" s="321">
        <f t="shared" si="23"/>
        <v>0</v>
      </c>
      <c r="AH20" s="73"/>
    </row>
    <row r="21" spans="2:34" x14ac:dyDescent="0.25">
      <c r="B21" s="516" t="s">
        <v>148</v>
      </c>
      <c r="C21" s="49" t="s">
        <v>413</v>
      </c>
      <c r="D21" s="346"/>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6">
        <f>'Haver Pivoted'!HD55</f>
        <v>0</v>
      </c>
      <c r="T21" s="316">
        <f>'Haver Pivoted'!HE55</f>
        <v>0</v>
      </c>
      <c r="U21" s="316">
        <f>'Haver Pivoted'!HF55</f>
        <v>0</v>
      </c>
      <c r="V21" s="316">
        <f>'Haver Pivoted'!HG55</f>
        <v>0</v>
      </c>
      <c r="W21" s="540">
        <f>'Haver Pivoted'!HH55</f>
        <v>0</v>
      </c>
      <c r="X21" s="540">
        <f>'Haver Pivoted'!HI55</f>
        <v>0</v>
      </c>
      <c r="Y21" s="321">
        <f t="shared" ref="Y21:AD21" si="24">X21</f>
        <v>0</v>
      </c>
      <c r="Z21" s="321">
        <f t="shared" si="24"/>
        <v>0</v>
      </c>
      <c r="AA21" s="321">
        <f t="shared" si="24"/>
        <v>0</v>
      </c>
      <c r="AB21" s="321">
        <f t="shared" si="24"/>
        <v>0</v>
      </c>
      <c r="AC21" s="321">
        <f t="shared" si="24"/>
        <v>0</v>
      </c>
      <c r="AD21" s="321">
        <f t="shared" si="24"/>
        <v>0</v>
      </c>
      <c r="AE21" s="321">
        <f t="shared" ref="AE21" si="25">AD21</f>
        <v>0</v>
      </c>
      <c r="AF21" s="321">
        <f t="shared" ref="AF21" si="26">AE21</f>
        <v>0</v>
      </c>
      <c r="AG21" s="321">
        <f t="shared" ref="AG21" si="27">AF21</f>
        <v>0</v>
      </c>
    </row>
    <row r="22" spans="2:34" x14ac:dyDescent="0.25">
      <c r="B22" s="516" t="s">
        <v>414</v>
      </c>
      <c r="C22" s="49" t="s">
        <v>790</v>
      </c>
      <c r="D22" s="359"/>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6">
        <f>'Haver Pivoted'!HD87</f>
        <v>0</v>
      </c>
      <c r="T22" s="316">
        <f>'Haver Pivoted'!HE87</f>
        <v>0</v>
      </c>
      <c r="U22" s="316">
        <f>'Haver Pivoted'!HF87</f>
        <v>0</v>
      </c>
      <c r="V22" s="316">
        <f>'Haver Pivoted'!HG87</f>
        <v>0</v>
      </c>
      <c r="W22" s="540">
        <f>'Haver Pivoted'!HH87</f>
        <v>0</v>
      </c>
      <c r="X22" s="540">
        <f>'Haver Pivoted'!HI87</f>
        <v>0</v>
      </c>
      <c r="Y22" s="321">
        <v>0</v>
      </c>
      <c r="Z22" s="321">
        <v>0</v>
      </c>
      <c r="AA22" s="321">
        <v>0</v>
      </c>
      <c r="AB22" s="321">
        <v>0</v>
      </c>
      <c r="AC22" s="321">
        <v>0</v>
      </c>
      <c r="AD22" s="321">
        <v>1</v>
      </c>
      <c r="AE22" s="321">
        <v>2</v>
      </c>
      <c r="AF22" s="321">
        <v>3</v>
      </c>
      <c r="AG22" s="321">
        <v>4</v>
      </c>
    </row>
    <row r="23" spans="2:34" x14ac:dyDescent="0.25">
      <c r="B23" s="516" t="s">
        <v>415</v>
      </c>
      <c r="C23" s="49" t="s">
        <v>789</v>
      </c>
      <c r="D23" s="346"/>
      <c r="E23" s="49"/>
      <c r="F23" s="68"/>
      <c r="G23" s="529"/>
      <c r="H23" s="68"/>
      <c r="I23" s="68"/>
      <c r="J23" s="68"/>
      <c r="K23" s="68"/>
      <c r="L23" s="68"/>
      <c r="M23" s="68"/>
      <c r="N23" s="68">
        <f>'Haver Pivoted'!GY86</f>
        <v>21.4</v>
      </c>
      <c r="O23" s="68">
        <f>'Haver Pivoted'!GZ86</f>
        <v>57</v>
      </c>
      <c r="P23" s="68">
        <f>'Haver Pivoted'!HA86</f>
        <v>35.5</v>
      </c>
      <c r="Q23" s="68">
        <f>'Haver Pivoted'!HB86</f>
        <v>0</v>
      </c>
      <c r="R23" s="68">
        <f>'Haver Pivoted'!HC86</f>
        <v>0</v>
      </c>
      <c r="S23" s="316">
        <f>'Haver Pivoted'!HD86</f>
        <v>0</v>
      </c>
      <c r="T23" s="316">
        <f>'Haver Pivoted'!HE86</f>
        <v>0</v>
      </c>
      <c r="U23" s="316">
        <f>'Haver Pivoted'!HF86</f>
        <v>0</v>
      </c>
      <c r="V23" s="316">
        <f>'Haver Pivoted'!HG86</f>
        <v>0</v>
      </c>
      <c r="W23" s="540">
        <f>'Haver Pivoted'!HH86</f>
        <v>0</v>
      </c>
      <c r="X23" s="540">
        <f>'Haver Pivoted'!HI86</f>
        <v>0</v>
      </c>
      <c r="Y23" s="321">
        <f t="shared" ref="Y23:AD23" si="28">X23</f>
        <v>0</v>
      </c>
      <c r="Z23" s="321">
        <f t="shared" si="28"/>
        <v>0</v>
      </c>
      <c r="AA23" s="321">
        <f t="shared" si="28"/>
        <v>0</v>
      </c>
      <c r="AB23" s="321">
        <f t="shared" si="28"/>
        <v>0</v>
      </c>
      <c r="AC23" s="321">
        <f t="shared" si="28"/>
        <v>0</v>
      </c>
      <c r="AD23" s="321">
        <f t="shared" si="28"/>
        <v>0</v>
      </c>
      <c r="AE23" s="321">
        <f t="shared" ref="AE23" si="29">AD23</f>
        <v>0</v>
      </c>
      <c r="AF23" s="321">
        <f t="shared" ref="AF23" si="30">AE23</f>
        <v>0</v>
      </c>
      <c r="AG23" s="321">
        <f t="shared" ref="AG23" si="31">AF23</f>
        <v>0</v>
      </c>
    </row>
    <row r="24" spans="2:34" x14ac:dyDescent="0.25">
      <c r="B24" s="516" t="s">
        <v>416</v>
      </c>
      <c r="C24" s="49"/>
      <c r="D24" s="346"/>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89">
        <f t="shared" si="32"/>
        <v>8.4</v>
      </c>
      <c r="X24" s="50">
        <f t="shared" si="32"/>
        <v>0.2</v>
      </c>
      <c r="Y24" s="321">
        <f t="shared" si="32"/>
        <v>0.2</v>
      </c>
      <c r="Z24" s="321">
        <f t="shared" si="32"/>
        <v>0.2</v>
      </c>
      <c r="AA24" s="321">
        <f t="shared" si="32"/>
        <v>0.2</v>
      </c>
      <c r="AB24" s="321">
        <f t="shared" si="32"/>
        <v>0</v>
      </c>
      <c r="AC24" s="321">
        <f t="shared" si="32"/>
        <v>0</v>
      </c>
      <c r="AD24" s="321">
        <f t="shared" ref="AD24:AE24" si="33">AD41+AD42</f>
        <v>0</v>
      </c>
      <c r="AE24" s="321">
        <f t="shared" si="33"/>
        <v>0</v>
      </c>
      <c r="AF24" s="321">
        <f t="shared" ref="AF24:AG24" si="34">AF41+AF42</f>
        <v>0</v>
      </c>
      <c r="AG24" s="321">
        <f t="shared" si="34"/>
        <v>0</v>
      </c>
    </row>
    <row r="25" spans="2:34" x14ac:dyDescent="0.25">
      <c r="B25" s="516" t="s">
        <v>417</v>
      </c>
      <c r="C25" s="49"/>
      <c r="D25" s="346"/>
      <c r="E25" s="49"/>
      <c r="F25" s="50"/>
      <c r="G25" s="50"/>
      <c r="H25" s="211"/>
      <c r="I25" s="211"/>
      <c r="J25" s="211"/>
      <c r="K25" s="211"/>
      <c r="L25" s="211"/>
      <c r="M25" s="211"/>
      <c r="N25" s="50"/>
      <c r="O25" s="50">
        <f>O34</f>
        <v>12</v>
      </c>
      <c r="P25" s="50">
        <v>25</v>
      </c>
      <c r="Q25" s="50">
        <v>5</v>
      </c>
      <c r="R25" s="50">
        <v>5</v>
      </c>
      <c r="S25" s="50">
        <v>5</v>
      </c>
      <c r="T25" s="50">
        <f t="shared" ref="T25:AC25" si="35">T34</f>
        <v>0</v>
      </c>
      <c r="U25" s="50">
        <f t="shared" si="35"/>
        <v>0</v>
      </c>
      <c r="V25" s="50">
        <f t="shared" si="35"/>
        <v>0</v>
      </c>
      <c r="W25" s="389">
        <f t="shared" si="35"/>
        <v>0</v>
      </c>
      <c r="X25" s="50">
        <f t="shared" si="35"/>
        <v>0</v>
      </c>
      <c r="Y25" s="321">
        <f t="shared" si="35"/>
        <v>0</v>
      </c>
      <c r="Z25" s="321">
        <f t="shared" si="35"/>
        <v>0</v>
      </c>
      <c r="AA25" s="321">
        <f t="shared" si="35"/>
        <v>0</v>
      </c>
      <c r="AB25" s="321">
        <f t="shared" si="35"/>
        <v>0</v>
      </c>
      <c r="AC25" s="321">
        <f t="shared" si="35"/>
        <v>0</v>
      </c>
      <c r="AD25" s="321">
        <f t="shared" ref="AD25:AE25" si="36">AD34</f>
        <v>0</v>
      </c>
      <c r="AE25" s="321">
        <f t="shared" si="36"/>
        <v>0</v>
      </c>
      <c r="AF25" s="321">
        <f t="shared" ref="AF25:AG25" si="37">AF34</f>
        <v>0</v>
      </c>
      <c r="AG25" s="321">
        <f t="shared" si="37"/>
        <v>0</v>
      </c>
    </row>
    <row r="26" spans="2:34" x14ac:dyDescent="0.25">
      <c r="B26" s="516" t="s">
        <v>1382</v>
      </c>
      <c r="C26" s="49"/>
      <c r="D26" s="346"/>
      <c r="E26" s="49"/>
      <c r="F26" s="50"/>
      <c r="G26" s="50"/>
      <c r="H26" s="211"/>
      <c r="I26" s="211"/>
      <c r="J26" s="211"/>
      <c r="K26" s="211"/>
      <c r="L26" s="211"/>
      <c r="M26" s="211"/>
      <c r="N26" s="50"/>
      <c r="O26" s="50"/>
      <c r="P26" s="50"/>
      <c r="Q26" s="50"/>
      <c r="R26" s="50"/>
      <c r="S26" s="494">
        <f>'IRA and CHIPS'!E198</f>
        <v>0</v>
      </c>
      <c r="T26" s="494">
        <f>'IRA and CHIPS'!F198</f>
        <v>2.3250000000000002</v>
      </c>
      <c r="U26" s="494">
        <f>'IRA and CHIPS'!G198</f>
        <v>2.3250000000000002</v>
      </c>
      <c r="V26" s="494">
        <f>'IRA and CHIPS'!H198</f>
        <v>2.3250000000000002</v>
      </c>
      <c r="W26" s="490">
        <f>'IRA and CHIPS'!I198</f>
        <v>2.3250000000000002</v>
      </c>
      <c r="X26" s="494">
        <f>'IRA and CHIPS'!J198</f>
        <v>5.5830000000000002</v>
      </c>
      <c r="Y26" s="507">
        <f>'IRA and CHIPS'!K198</f>
        <v>5.5830000000000002</v>
      </c>
      <c r="Z26" s="507">
        <f>'IRA and CHIPS'!L198</f>
        <v>5.5830000000000002</v>
      </c>
      <c r="AA26" s="507">
        <f>'IRA and CHIPS'!M198</f>
        <v>5.5830000000000002</v>
      </c>
      <c r="AB26" s="507">
        <f>'IRA and CHIPS'!N198</f>
        <v>8.0220000000000002</v>
      </c>
      <c r="AC26" s="507">
        <f>'IRA and CHIPS'!O198</f>
        <v>8.0220000000000002</v>
      </c>
      <c r="AD26" s="507">
        <f>'IRA and CHIPS'!P198</f>
        <v>0</v>
      </c>
      <c r="AE26" s="507">
        <f>'IRA and CHIPS'!Q198</f>
        <v>0</v>
      </c>
      <c r="AF26" s="507">
        <f>'IRA and CHIPS'!R198</f>
        <v>0</v>
      </c>
      <c r="AG26" s="507">
        <f>'IRA and CHIPS'!S198</f>
        <v>0</v>
      </c>
    </row>
    <row r="27" spans="2:34" x14ac:dyDescent="0.25">
      <c r="B27" s="516" t="s">
        <v>1190</v>
      </c>
      <c r="C27" s="377"/>
      <c r="D27" s="375"/>
      <c r="E27" s="377"/>
      <c r="F27" s="382"/>
      <c r="G27" s="382"/>
      <c r="H27" s="517"/>
      <c r="I27" s="517"/>
      <c r="J27" s="517"/>
      <c r="K27" s="517"/>
      <c r="L27" s="517"/>
      <c r="M27" s="517"/>
      <c r="N27" s="382"/>
      <c r="O27" s="382"/>
      <c r="P27" s="382"/>
      <c r="Q27" s="382"/>
      <c r="R27" s="382"/>
      <c r="S27" s="495">
        <f>'IRA and CHIPS'!E187</f>
        <v>0</v>
      </c>
      <c r="T27" s="495">
        <f>'IRA and CHIPS'!F187</f>
        <v>1.2969999999999999</v>
      </c>
      <c r="U27" s="494">
        <f>'IRA and CHIPS'!G187</f>
        <v>1.2969999999999999</v>
      </c>
      <c r="V27" s="495">
        <f>'IRA and CHIPS'!H187</f>
        <v>1.2969999999999999</v>
      </c>
      <c r="W27" s="491">
        <f>'IRA and CHIPS'!I187</f>
        <v>1.2969999999999999</v>
      </c>
      <c r="X27" s="495">
        <f>'IRA and CHIPS'!J187</f>
        <v>3.8479999999999999</v>
      </c>
      <c r="Y27" s="518">
        <f>'IRA and CHIPS'!K187</f>
        <v>3.8479999999999999</v>
      </c>
      <c r="Z27" s="518">
        <f>'IRA and CHIPS'!L187</f>
        <v>3.8479999999999999</v>
      </c>
      <c r="AA27" s="518">
        <f>'IRA and CHIPS'!M187</f>
        <v>3.8479999999999999</v>
      </c>
      <c r="AB27" s="518">
        <f>'IRA and CHIPS'!N187</f>
        <v>6.4420000000000002</v>
      </c>
      <c r="AC27" s="518">
        <f>'IRA and CHIPS'!O187</f>
        <v>6.4420000000000002</v>
      </c>
      <c r="AD27" s="518">
        <f>'IRA and CHIPS'!P187</f>
        <v>6.4420000000000002</v>
      </c>
      <c r="AE27" s="518">
        <f>'IRA and CHIPS'!Q187</f>
        <v>6.4420000000000002</v>
      </c>
      <c r="AF27" s="518">
        <f>'IRA and CHIPS'!R187</f>
        <v>9.532</v>
      </c>
      <c r="AG27" s="518">
        <f>'IRA and CHIPS'!S187</f>
        <v>9.532</v>
      </c>
    </row>
    <row r="28" spans="2:34" ht="15" customHeight="1" x14ac:dyDescent="0.25">
      <c r="B28" s="1425" t="s">
        <v>418</v>
      </c>
      <c r="C28" s="1426"/>
      <c r="D28" s="519"/>
      <c r="E28" s="487"/>
      <c r="F28" s="487"/>
      <c r="G28" s="487"/>
      <c r="H28" s="50"/>
      <c r="I28" s="50"/>
      <c r="J28" s="50"/>
      <c r="K28" s="50"/>
      <c r="L28" s="50"/>
      <c r="M28" s="50"/>
      <c r="N28" s="50"/>
      <c r="O28" s="50"/>
      <c r="P28" s="423"/>
      <c r="Q28" s="50"/>
      <c r="R28" s="50"/>
      <c r="S28" s="50"/>
      <c r="T28" s="50"/>
      <c r="U28" s="50"/>
      <c r="V28" s="493"/>
      <c r="W28" s="493"/>
      <c r="X28" s="493"/>
      <c r="Y28" s="499"/>
      <c r="Z28" s="499"/>
      <c r="AA28" s="499"/>
      <c r="AB28" s="499"/>
      <c r="AC28" s="499"/>
      <c r="AD28" s="500"/>
      <c r="AE28" s="508"/>
      <c r="AF28" s="508"/>
      <c r="AG28" s="500"/>
    </row>
    <row r="29" spans="2:34" x14ac:dyDescent="0.25">
      <c r="B29" s="412" t="s">
        <v>419</v>
      </c>
      <c r="C29" s="265"/>
      <c r="D29" s="473"/>
      <c r="E29" s="265"/>
      <c r="F29" s="211"/>
      <c r="G29" s="211"/>
      <c r="H29" s="50"/>
      <c r="I29" s="50"/>
      <c r="J29" s="50"/>
      <c r="K29" s="50"/>
      <c r="L29" s="50"/>
      <c r="M29" s="50"/>
      <c r="N29" s="50">
        <f>SUM(N30:N34)</f>
        <v>23</v>
      </c>
      <c r="O29" s="50">
        <f>SUM(O30:O34)</f>
        <v>162</v>
      </c>
      <c r="P29" s="50"/>
      <c r="Q29" s="50"/>
      <c r="R29" s="50"/>
      <c r="S29" s="50"/>
      <c r="T29" s="50"/>
      <c r="U29" s="50"/>
      <c r="V29" s="35"/>
      <c r="W29" s="35"/>
      <c r="X29" s="35"/>
      <c r="Y29" s="500"/>
      <c r="Z29" s="500"/>
      <c r="AA29" s="500"/>
      <c r="AB29" s="500"/>
      <c r="AC29" s="500"/>
      <c r="AD29" s="500"/>
      <c r="AE29" s="508"/>
      <c r="AF29" s="508"/>
      <c r="AG29" s="500"/>
    </row>
    <row r="30" spans="2:34" x14ac:dyDescent="0.25">
      <c r="B30" s="350" t="s">
        <v>420</v>
      </c>
      <c r="C30" s="265"/>
      <c r="D30" s="473"/>
      <c r="E30" s="265"/>
      <c r="F30" s="211"/>
      <c r="G30" s="211"/>
      <c r="H30" s="50"/>
      <c r="I30" s="50"/>
      <c r="J30" s="50"/>
      <c r="K30" s="50"/>
      <c r="L30" s="523"/>
      <c r="M30" s="50"/>
      <c r="N30" s="50">
        <f>(4*'Response and Relief Act Score'!$F$15-$M$18)/2</f>
        <v>11</v>
      </c>
      <c r="O30" s="50">
        <f>(4*'Response and Relief Act Score'!$F$15-$M$18)/2</f>
        <v>11</v>
      </c>
      <c r="P30" s="50"/>
      <c r="Q30" s="50"/>
      <c r="R30" s="50"/>
      <c r="S30" s="50"/>
      <c r="T30" s="50"/>
      <c r="U30" s="50"/>
      <c r="V30" s="35"/>
      <c r="W30" s="35"/>
      <c r="X30" s="35"/>
      <c r="Y30" s="500"/>
      <c r="Z30" s="500"/>
      <c r="AA30" s="500"/>
      <c r="AB30" s="500"/>
      <c r="AC30" s="500"/>
      <c r="AD30" s="500"/>
      <c r="AE30" s="508"/>
      <c r="AF30" s="508"/>
      <c r="AG30" s="500"/>
    </row>
    <row r="31" spans="2:34" x14ac:dyDescent="0.25">
      <c r="B31" s="350" t="s">
        <v>417</v>
      </c>
      <c r="C31" s="265"/>
      <c r="D31" s="473"/>
      <c r="E31" s="265"/>
      <c r="F31" s="211"/>
      <c r="G31" s="211"/>
      <c r="H31" s="50"/>
      <c r="I31" s="50"/>
      <c r="J31" s="50"/>
      <c r="K31" s="50"/>
      <c r="L31" s="523"/>
      <c r="M31" s="50"/>
      <c r="N31" s="50"/>
      <c r="O31" s="50"/>
      <c r="P31" s="50"/>
      <c r="Q31" s="50"/>
      <c r="R31" s="50"/>
      <c r="S31" s="50"/>
      <c r="T31" s="50"/>
      <c r="U31" s="50"/>
      <c r="V31" s="35"/>
      <c r="W31" s="35"/>
      <c r="X31" s="35"/>
      <c r="Y31" s="500"/>
      <c r="Z31" s="500"/>
      <c r="AA31" s="500"/>
      <c r="AB31" s="500"/>
      <c r="AC31" s="500"/>
      <c r="AD31" s="500"/>
      <c r="AE31" s="508"/>
      <c r="AF31" s="508"/>
      <c r="AG31" s="500"/>
    </row>
    <row r="32" spans="2:34" x14ac:dyDescent="0.25">
      <c r="B32" s="537" t="s">
        <v>414</v>
      </c>
      <c r="C32" s="265"/>
      <c r="D32" s="473"/>
      <c r="E32" s="265"/>
      <c r="F32" s="211"/>
      <c r="G32" s="211"/>
      <c r="H32" s="50"/>
      <c r="I32" s="50"/>
      <c r="J32" s="50"/>
      <c r="K32" s="50"/>
      <c r="L32" s="50"/>
      <c r="M32" s="50"/>
      <c r="N32" s="50"/>
      <c r="O32" s="50">
        <v>79</v>
      </c>
      <c r="P32" s="50"/>
      <c r="Q32" s="389"/>
      <c r="R32" s="389"/>
      <c r="S32" s="389"/>
      <c r="T32" s="389"/>
      <c r="U32" s="389"/>
      <c r="V32" s="35"/>
      <c r="W32" s="35"/>
      <c r="X32" s="35"/>
      <c r="Y32" s="500"/>
      <c r="Z32" s="500"/>
      <c r="AA32" s="500"/>
      <c r="AB32" s="500"/>
      <c r="AC32" s="500"/>
      <c r="AD32" s="500"/>
      <c r="AE32" s="508"/>
      <c r="AF32" s="508"/>
      <c r="AG32" s="500"/>
    </row>
    <row r="33" spans="1:78" x14ac:dyDescent="0.25">
      <c r="B33" s="538" t="s">
        <v>421</v>
      </c>
      <c r="C33" s="265"/>
      <c r="D33" s="473"/>
      <c r="E33" s="265"/>
      <c r="F33" s="211"/>
      <c r="G33" s="211"/>
      <c r="H33" s="50"/>
      <c r="I33" s="50"/>
      <c r="J33" s="50"/>
      <c r="K33" s="50"/>
      <c r="L33" s="50"/>
      <c r="M33" s="50"/>
      <c r="N33" s="50"/>
      <c r="O33" s="50">
        <f>'Response and Relief Act Score'!F13*4</f>
        <v>60</v>
      </c>
      <c r="P33" s="50"/>
      <c r="Q33" s="389"/>
      <c r="R33" s="389"/>
      <c r="S33" s="389"/>
      <c r="T33" s="389"/>
      <c r="U33" s="389"/>
      <c r="V33" s="35"/>
      <c r="W33" s="35"/>
      <c r="X33" s="35"/>
      <c r="Y33" s="500"/>
      <c r="Z33" s="500"/>
      <c r="AA33" s="500"/>
      <c r="AB33" s="500"/>
      <c r="AC33" s="500"/>
      <c r="AD33" s="500"/>
      <c r="AE33" s="508"/>
      <c r="AF33" s="508"/>
      <c r="AG33" s="500"/>
    </row>
    <row r="34" spans="1:78" ht="27.6" customHeight="1" x14ac:dyDescent="0.25">
      <c r="B34" s="538" t="s">
        <v>422</v>
      </c>
      <c r="C34" s="265"/>
      <c r="D34" s="521"/>
      <c r="E34" s="522"/>
      <c r="F34" s="517"/>
      <c r="G34" s="517"/>
      <c r="H34" s="382"/>
      <c r="I34" s="382"/>
      <c r="J34" s="382"/>
      <c r="K34" s="382"/>
      <c r="L34" s="527"/>
      <c r="M34" s="382"/>
      <c r="N34" s="382">
        <f>'Response and Relief Act Score'!F14*4/2</f>
        <v>12</v>
      </c>
      <c r="O34" s="382">
        <f>'Response and Relief Act Score'!F14*4/2</f>
        <v>12</v>
      </c>
      <c r="P34" s="382"/>
      <c r="Q34" s="382"/>
      <c r="R34" s="382"/>
      <c r="S34" s="382"/>
      <c r="T34" s="382"/>
      <c r="U34" s="50"/>
      <c r="V34" s="35"/>
      <c r="W34" s="35"/>
      <c r="X34" s="35"/>
      <c r="Y34" s="500"/>
      <c r="Z34" s="500"/>
      <c r="AA34" s="500"/>
      <c r="AB34" s="500"/>
      <c r="AC34" s="500"/>
      <c r="AD34" s="500"/>
      <c r="AE34" s="508"/>
      <c r="AF34" s="508"/>
      <c r="AG34" s="500"/>
    </row>
    <row r="35" spans="1:78" ht="15" customHeight="1" x14ac:dyDescent="0.25">
      <c r="B35" s="1423" t="s">
        <v>423</v>
      </c>
      <c r="C35" s="1424"/>
      <c r="D35" s="473"/>
      <c r="E35" s="265"/>
      <c r="F35" s="211"/>
      <c r="G35" s="211"/>
      <c r="H35" s="50"/>
      <c r="I35" s="50"/>
      <c r="J35" s="50"/>
      <c r="K35" s="50"/>
      <c r="L35" s="523"/>
      <c r="M35" s="50"/>
      <c r="N35" s="50"/>
      <c r="O35" s="50"/>
      <c r="P35" s="50"/>
      <c r="Q35" s="50"/>
      <c r="R35" s="50"/>
      <c r="S35" s="50"/>
      <c r="T35" s="402"/>
      <c r="U35" s="502"/>
      <c r="V35" s="493"/>
      <c r="W35" s="493"/>
      <c r="X35" s="493"/>
      <c r="Y35" s="499"/>
      <c r="Z35" s="499"/>
      <c r="AA35" s="499"/>
      <c r="AB35" s="499"/>
      <c r="AC35" s="499"/>
      <c r="AD35" s="500"/>
      <c r="AE35" s="508"/>
      <c r="AF35" s="508"/>
      <c r="AG35" s="500"/>
    </row>
    <row r="36" spans="1:78" ht="13.5" customHeight="1" x14ac:dyDescent="0.25">
      <c r="B36" s="538" t="s">
        <v>143</v>
      </c>
      <c r="C36" s="265"/>
      <c r="D36" s="473"/>
      <c r="E36" s="265"/>
      <c r="F36" s="211"/>
      <c r="G36" s="211"/>
      <c r="H36" s="50"/>
      <c r="I36" s="50"/>
      <c r="J36" s="50"/>
      <c r="K36" s="50"/>
      <c r="L36" s="52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21">
        <f>'ARP Quarterly'!O18</f>
        <v>0</v>
      </c>
      <c r="Z36" s="321">
        <f>'ARP Quarterly'!P18</f>
        <v>0</v>
      </c>
      <c r="AA36" s="321">
        <f>'ARP Quarterly'!Q18</f>
        <v>0</v>
      </c>
      <c r="AB36" s="321">
        <f>'ARP Quarterly'!R18</f>
        <v>0</v>
      </c>
      <c r="AC36" s="321">
        <f>'ARP Quarterly'!S18</f>
        <v>0</v>
      </c>
      <c r="AD36" s="500"/>
      <c r="AE36" s="508"/>
      <c r="AF36" s="508"/>
      <c r="AG36" s="500"/>
    </row>
    <row r="37" spans="1:78" x14ac:dyDescent="0.25">
      <c r="B37" s="538" t="s">
        <v>424</v>
      </c>
      <c r="C37" s="265"/>
      <c r="D37" s="473"/>
      <c r="E37" s="265"/>
      <c r="F37" s="211"/>
      <c r="G37" s="211"/>
      <c r="H37" s="50"/>
      <c r="I37" s="50"/>
      <c r="J37" s="50"/>
      <c r="K37" s="50"/>
      <c r="L37" s="52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21">
        <f>'ARP Quarterly'!O19</f>
        <v>0</v>
      </c>
      <c r="Z37" s="321">
        <f>'ARP Quarterly'!P19</f>
        <v>0</v>
      </c>
      <c r="AA37" s="321">
        <f>'ARP Quarterly'!Q19</f>
        <v>0</v>
      </c>
      <c r="AB37" s="321">
        <f>'ARP Quarterly'!R19</f>
        <v>0</v>
      </c>
      <c r="AC37" s="321">
        <f>'ARP Quarterly'!S19</f>
        <v>0</v>
      </c>
      <c r="AD37" s="500"/>
      <c r="AE37" s="508"/>
      <c r="AF37" s="508"/>
      <c r="AG37" s="500"/>
    </row>
    <row r="38" spans="1:78" x14ac:dyDescent="0.25">
      <c r="B38" s="538" t="s">
        <v>148</v>
      </c>
      <c r="C38" s="265"/>
      <c r="D38" s="473"/>
      <c r="E38" s="265"/>
      <c r="F38" s="211"/>
      <c r="G38" s="211"/>
      <c r="H38" s="50"/>
      <c r="I38" s="50"/>
      <c r="J38" s="50"/>
      <c r="K38" s="50"/>
      <c r="L38" s="52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21">
        <f>'ARP Quarterly'!O20</f>
        <v>0</v>
      </c>
      <c r="Z38" s="321">
        <f>'ARP Quarterly'!P20</f>
        <v>0</v>
      </c>
      <c r="AA38" s="321">
        <f>'ARP Quarterly'!Q20</f>
        <v>0</v>
      </c>
      <c r="AB38" s="321">
        <f>'ARP Quarterly'!R20</f>
        <v>0</v>
      </c>
      <c r="AC38" s="321">
        <f>'ARP Quarterly'!S20</f>
        <v>0</v>
      </c>
      <c r="AD38" s="500"/>
      <c r="AE38" s="508"/>
      <c r="AF38" s="508"/>
      <c r="AG38" s="500"/>
    </row>
    <row r="39" spans="1:78" x14ac:dyDescent="0.25">
      <c r="B39" s="538" t="s">
        <v>414</v>
      </c>
      <c r="C39" s="265"/>
      <c r="D39" s="473"/>
      <c r="E39" s="265"/>
      <c r="F39" s="211"/>
      <c r="G39" s="211"/>
      <c r="H39" s="50"/>
      <c r="I39" s="50"/>
      <c r="J39" s="50"/>
      <c r="K39" s="50"/>
      <c r="L39" s="52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21">
        <f>'ARP Quarterly'!O21</f>
        <v>0</v>
      </c>
      <c r="Z39" s="321">
        <f>'ARP Quarterly'!P21</f>
        <v>0</v>
      </c>
      <c r="AA39" s="321">
        <f>'ARP Quarterly'!Q21</f>
        <v>0</v>
      </c>
      <c r="AB39" s="321">
        <f>'ARP Quarterly'!R21</f>
        <v>0</v>
      </c>
      <c r="AC39" s="321">
        <f>'ARP Quarterly'!S21</f>
        <v>0</v>
      </c>
      <c r="AD39" s="500"/>
      <c r="AE39" s="508"/>
      <c r="AF39" s="508"/>
      <c r="AG39" s="500"/>
    </row>
    <row r="40" spans="1:78" ht="30" customHeight="1" x14ac:dyDescent="0.25">
      <c r="B40" s="538" t="s">
        <v>425</v>
      </c>
      <c r="C40" s="265"/>
      <c r="D40" s="473"/>
      <c r="E40" s="265"/>
      <c r="F40" s="211"/>
      <c r="G40" s="211"/>
      <c r="H40" s="50"/>
      <c r="I40" s="50"/>
      <c r="J40" s="50"/>
      <c r="K40" s="50"/>
      <c r="L40" s="52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21">
        <f>'ARP Quarterly'!O22</f>
        <v>0</v>
      </c>
      <c r="Z40" s="321">
        <f>'ARP Quarterly'!P22</f>
        <v>0</v>
      </c>
      <c r="AA40" s="321">
        <f>'ARP Quarterly'!Q22</f>
        <v>0</v>
      </c>
      <c r="AB40" s="321">
        <f>'ARP Quarterly'!R22</f>
        <v>0</v>
      </c>
      <c r="AC40" s="321">
        <f>'ARP Quarterly'!S22</f>
        <v>0</v>
      </c>
      <c r="AD40" s="500"/>
      <c r="AE40" s="508"/>
      <c r="AF40" s="508"/>
      <c r="AG40" s="500"/>
    </row>
    <row r="41" spans="1:78" x14ac:dyDescent="0.25">
      <c r="B41" s="538" t="s">
        <v>426</v>
      </c>
      <c r="C41" s="265"/>
      <c r="D41" s="473"/>
      <c r="E41" s="265"/>
      <c r="F41" s="211"/>
      <c r="G41" s="211"/>
      <c r="H41" s="50"/>
      <c r="I41" s="50"/>
      <c r="J41" s="50"/>
      <c r="K41" s="50"/>
      <c r="L41" s="52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21">
        <f>'ARP Quarterly'!O23</f>
        <v>0.2</v>
      </c>
      <c r="Z41" s="321">
        <f>'ARP Quarterly'!P23</f>
        <v>0.2</v>
      </c>
      <c r="AA41" s="321">
        <f>'ARP Quarterly'!Q23</f>
        <v>0.2</v>
      </c>
      <c r="AB41" s="321">
        <f>'ARP Quarterly'!R23</f>
        <v>0</v>
      </c>
      <c r="AC41" s="321">
        <f>'ARP Quarterly'!S23</f>
        <v>0</v>
      </c>
      <c r="AD41" s="500"/>
      <c r="AE41" s="508"/>
      <c r="AF41" s="508"/>
      <c r="AG41" s="500"/>
    </row>
    <row r="42" spans="1:78" x14ac:dyDescent="0.25">
      <c r="B42" s="538" t="s">
        <v>427</v>
      </c>
      <c r="C42" s="265"/>
      <c r="D42" s="473"/>
      <c r="E42" s="265"/>
      <c r="F42" s="211"/>
      <c r="G42" s="211"/>
      <c r="H42" s="50"/>
      <c r="I42" s="50"/>
      <c r="J42" s="50"/>
      <c r="K42" s="50"/>
      <c r="L42" s="523"/>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21">
        <v>0</v>
      </c>
      <c r="Z42" s="321">
        <v>0</v>
      </c>
      <c r="AA42" s="321">
        <v>0</v>
      </c>
      <c r="AB42" s="321">
        <v>0</v>
      </c>
      <c r="AC42" s="321">
        <v>0</v>
      </c>
      <c r="AD42" s="500"/>
      <c r="AE42" s="508"/>
      <c r="AF42" s="508"/>
      <c r="AG42" s="500"/>
    </row>
    <row r="43" spans="1:78" x14ac:dyDescent="0.25">
      <c r="B43" s="538" t="s">
        <v>312</v>
      </c>
      <c r="C43" s="265"/>
      <c r="D43" s="521"/>
      <c r="E43" s="522"/>
      <c r="F43" s="517"/>
      <c r="G43" s="517"/>
      <c r="H43" s="382"/>
      <c r="I43" s="382"/>
      <c r="J43" s="382"/>
      <c r="K43" s="382"/>
      <c r="L43" s="527"/>
      <c r="M43" s="382">
        <f>'ARP Quarterly'!C25</f>
        <v>0</v>
      </c>
      <c r="N43" s="382">
        <f>'ARP Quarterly'!D25</f>
        <v>58.782959999999996</v>
      </c>
      <c r="O43" s="382">
        <f>'ARP Quarterly'!E25</f>
        <v>267.78904000000006</v>
      </c>
      <c r="P43" s="382">
        <f>'ARP Quarterly'!F25</f>
        <v>110.24799999999999</v>
      </c>
      <c r="Q43" s="382">
        <f>'ARP Quarterly'!G25</f>
        <v>110.24799999999999</v>
      </c>
      <c r="R43" s="382">
        <f>'ARP Quarterly'!H25</f>
        <v>110.24799999999999</v>
      </c>
      <c r="S43" s="382">
        <f>'ARP Quarterly'!I25</f>
        <v>110.24799999999999</v>
      </c>
      <c r="T43" s="382">
        <f>'ARP Quarterly'!J25</f>
        <v>12.362</v>
      </c>
      <c r="U43" s="50">
        <f>'ARP Quarterly'!K25</f>
        <v>12.362</v>
      </c>
      <c r="V43" s="50">
        <f>'ARP Quarterly'!L25</f>
        <v>12.362</v>
      </c>
      <c r="W43" s="50">
        <f>'ARP Quarterly'!M25</f>
        <v>12.362</v>
      </c>
      <c r="X43" s="50">
        <f>'ARP Quarterly'!N25</f>
        <v>-0.67500000000000004</v>
      </c>
      <c r="Y43" s="321">
        <f>'ARP Quarterly'!O25</f>
        <v>-0.67500000000000004</v>
      </c>
      <c r="Z43" s="321">
        <f>'ARP Quarterly'!P25</f>
        <v>-0.67500000000000004</v>
      </c>
      <c r="AA43" s="321">
        <f>'ARP Quarterly'!Q25</f>
        <v>-0.67500000000000004</v>
      </c>
      <c r="AB43" s="321">
        <f>'ARP Quarterly'!R25</f>
        <v>0</v>
      </c>
      <c r="AC43" s="321">
        <f>'ARP Quarterly'!S25</f>
        <v>0</v>
      </c>
      <c r="AD43" s="500"/>
      <c r="AE43" s="508"/>
      <c r="AF43" s="508"/>
      <c r="AG43" s="500"/>
    </row>
    <row r="44" spans="1:78" ht="15" customHeight="1" x14ac:dyDescent="0.25">
      <c r="B44" s="1423" t="s">
        <v>428</v>
      </c>
      <c r="C44" s="1424"/>
      <c r="D44" s="520"/>
      <c r="E44" s="69"/>
      <c r="F44" s="211"/>
      <c r="G44" s="211"/>
      <c r="H44" s="50"/>
      <c r="I44" s="50"/>
      <c r="J44" s="50"/>
      <c r="K44" s="50"/>
      <c r="L44" s="523"/>
      <c r="M44" s="50"/>
      <c r="N44" s="50"/>
      <c r="O44" s="50"/>
      <c r="P44" s="50"/>
      <c r="Q44" s="50"/>
      <c r="R44" s="50"/>
      <c r="S44" s="50"/>
      <c r="T44" s="50"/>
      <c r="U44" s="502"/>
      <c r="V44" s="493"/>
      <c r="W44" s="493"/>
      <c r="X44" s="493"/>
      <c r="Y44" s="499"/>
      <c r="Z44" s="499"/>
      <c r="AA44" s="499"/>
      <c r="AB44" s="499"/>
      <c r="AC44" s="499"/>
      <c r="AD44" s="500"/>
      <c r="AE44" s="508"/>
      <c r="AF44" s="508"/>
      <c r="AG44" s="500"/>
    </row>
    <row r="45" spans="1:78" ht="21" customHeight="1" x14ac:dyDescent="0.25">
      <c r="B45" s="417" t="s">
        <v>429</v>
      </c>
      <c r="C45" s="524"/>
      <c r="D45" s="417"/>
      <c r="E45" s="524"/>
      <c r="F45" s="515"/>
      <c r="G45" s="515"/>
      <c r="H45" s="503"/>
      <c r="I45" s="503"/>
      <c r="J45" s="503"/>
      <c r="K45" s="503"/>
      <c r="L45" s="525"/>
      <c r="M45" s="503">
        <f>'ARP Quarterly'!C6</f>
        <v>0</v>
      </c>
      <c r="N45" s="503">
        <f>'ARP Quarterly'!D6</f>
        <v>58.782959999999989</v>
      </c>
      <c r="O45" s="503">
        <f>'ARP Quarterly'!E6</f>
        <v>267.78904</v>
      </c>
      <c r="P45" s="503">
        <f>'ARP Quarterly'!F6</f>
        <v>110.24799999999999</v>
      </c>
      <c r="Q45" s="503">
        <f>'ARP Quarterly'!G6</f>
        <v>110.24799999999999</v>
      </c>
      <c r="R45" s="503">
        <f>'ARP Quarterly'!H6</f>
        <v>110.24799999999999</v>
      </c>
      <c r="S45" s="503">
        <f>'ARP Quarterly'!I6</f>
        <v>110.24799999999999</v>
      </c>
      <c r="T45" s="503">
        <f>'ARP Quarterly'!J6</f>
        <v>12.726000000000001</v>
      </c>
      <c r="U45" s="503">
        <f>'ARP Quarterly'!K6</f>
        <v>12.726000000000001</v>
      </c>
      <c r="V45" s="503">
        <f>'ARP Quarterly'!L6</f>
        <v>12.726000000000001</v>
      </c>
      <c r="W45" s="503">
        <f>'ARP Quarterly'!M6</f>
        <v>12.726000000000001</v>
      </c>
      <c r="X45" s="503">
        <f>'ARP Quarterly'!N6</f>
        <v>1.365</v>
      </c>
      <c r="Y45" s="501">
        <f>'ARP Quarterly'!O6</f>
        <v>1.365</v>
      </c>
      <c r="Z45" s="501">
        <f>'ARP Quarterly'!P6</f>
        <v>1.365</v>
      </c>
      <c r="AA45" s="501">
        <f>'ARP Quarterly'!Q6</f>
        <v>1.365</v>
      </c>
      <c r="AB45" s="501">
        <f>'ARP Quarterly'!R6</f>
        <v>-0.90100000000000025</v>
      </c>
      <c r="AC45" s="501">
        <f>'ARP Quarterly'!S6</f>
        <v>-0.90100000000000025</v>
      </c>
      <c r="AD45" s="501">
        <f>'ARP Quarterly'!T6</f>
        <v>-0.90100000000000025</v>
      </c>
      <c r="AE45" s="501">
        <f>'ARP Quarterly'!U6</f>
        <v>-0.90100000000000025</v>
      </c>
      <c r="AF45" s="501">
        <f>'ARP Quarterly'!V6</f>
        <v>-2.1500000000000004</v>
      </c>
      <c r="AG45" s="496"/>
    </row>
    <row r="46" spans="1:78" ht="19.5" customHeight="1" x14ac:dyDescent="0.25">
      <c r="A46" s="492"/>
      <c r="B46" s="532" t="s">
        <v>199</v>
      </c>
      <c r="C46" s="533"/>
      <c r="D46" s="532"/>
      <c r="E46" s="533"/>
      <c r="F46" s="504">
        <f>F11-F45</f>
        <v>60.5</v>
      </c>
      <c r="G46" s="504">
        <f>G11-G45</f>
        <v>81.400000000000006</v>
      </c>
      <c r="H46" s="504">
        <f t="shared" ref="H46:AF46" si="38">H11-H45</f>
        <v>82.1</v>
      </c>
      <c r="I46" s="504">
        <f>I11-I45</f>
        <v>80</v>
      </c>
      <c r="J46" s="504">
        <f t="shared" si="38"/>
        <v>975.8</v>
      </c>
      <c r="K46" s="504">
        <f t="shared" si="38"/>
        <v>1108.4000000000001</v>
      </c>
      <c r="L46" s="504">
        <f>L11-L45</f>
        <v>460.7</v>
      </c>
      <c r="M46" s="504">
        <f>M11-M45</f>
        <v>385.5</v>
      </c>
      <c r="N46" s="504">
        <f t="shared" si="38"/>
        <v>633.91704000000004</v>
      </c>
      <c r="O46" s="504">
        <f>O11-O45</f>
        <v>279.31096000000002</v>
      </c>
      <c r="P46" s="504">
        <f>P11-P45</f>
        <v>182.952</v>
      </c>
      <c r="Q46" s="504">
        <f t="shared" si="38"/>
        <v>41.152000000000015</v>
      </c>
      <c r="R46" s="504">
        <f t="shared" si="38"/>
        <v>19.25200000000001</v>
      </c>
      <c r="S46" s="504">
        <f t="shared" si="38"/>
        <v>7.4520000000000124</v>
      </c>
      <c r="T46" s="504">
        <f t="shared" si="38"/>
        <v>95.873999999999995</v>
      </c>
      <c r="U46" s="504">
        <f t="shared" si="38"/>
        <v>87.974000000000004</v>
      </c>
      <c r="V46" s="504">
        <f>V11-V45</f>
        <v>86.474000000000004</v>
      </c>
      <c r="W46" s="504">
        <f t="shared" si="38"/>
        <v>89.674000000000007</v>
      </c>
      <c r="X46" s="504">
        <f>X11-X45</f>
        <v>97.935000000000002</v>
      </c>
      <c r="Y46" s="536">
        <f t="shared" si="38"/>
        <v>98.266000000000005</v>
      </c>
      <c r="Z46" s="536">
        <f t="shared" si="38"/>
        <v>98.266000000000005</v>
      </c>
      <c r="AA46" s="536">
        <f t="shared" si="38"/>
        <v>98.266000000000005</v>
      </c>
      <c r="AB46" s="536">
        <f t="shared" si="38"/>
        <v>105.36499999999999</v>
      </c>
      <c r="AC46" s="536">
        <f>AC11-AC45</f>
        <v>105.36499999999999</v>
      </c>
      <c r="AD46" s="536">
        <f t="shared" si="38"/>
        <v>98.343000000000004</v>
      </c>
      <c r="AE46" s="536">
        <f t="shared" si="38"/>
        <v>99.343000000000004</v>
      </c>
      <c r="AF46" s="536">
        <f t="shared" si="38"/>
        <v>104.682</v>
      </c>
      <c r="AG46" s="497"/>
      <c r="AH46" s="492"/>
      <c r="AI46" s="492"/>
      <c r="AJ46" s="492"/>
      <c r="AK46" s="492"/>
      <c r="AL46" s="492"/>
      <c r="AM46" s="492"/>
      <c r="AN46" s="492"/>
      <c r="AO46" s="492"/>
      <c r="AP46" s="492"/>
      <c r="AQ46" s="492"/>
      <c r="AR46" s="492"/>
      <c r="AS46" s="492"/>
      <c r="AT46" s="492"/>
      <c r="AU46" s="492"/>
      <c r="AV46" s="492"/>
      <c r="AW46" s="492"/>
      <c r="AX46" s="492"/>
      <c r="AY46" s="492"/>
      <c r="AZ46" s="492"/>
      <c r="BA46" s="492"/>
      <c r="BB46" s="492"/>
      <c r="BC46" s="492"/>
      <c r="BD46" s="492"/>
      <c r="BE46" s="492"/>
      <c r="BF46" s="492"/>
      <c r="BG46" s="492"/>
      <c r="BH46" s="492"/>
      <c r="BI46" s="492"/>
      <c r="BJ46" s="492"/>
      <c r="BK46" s="492"/>
      <c r="BL46" s="492"/>
      <c r="BM46" s="492"/>
      <c r="BN46" s="492"/>
      <c r="BO46" s="492"/>
      <c r="BP46" s="492"/>
      <c r="BQ46" s="492"/>
      <c r="BR46" s="492"/>
      <c r="BS46" s="492"/>
      <c r="BT46" s="492"/>
      <c r="BU46" s="492"/>
      <c r="BV46" s="492"/>
      <c r="BW46" s="492"/>
      <c r="BX46" s="492"/>
      <c r="BY46" s="492"/>
      <c r="BZ46" s="492"/>
    </row>
    <row r="47" spans="1:78" ht="19.5" customHeight="1" x14ac:dyDescent="0.25">
      <c r="A47" s="492"/>
      <c r="B47" s="245"/>
      <c r="C47" s="245"/>
      <c r="D47" s="245"/>
      <c r="E47" s="245"/>
      <c r="F47" s="535"/>
      <c r="G47" s="535"/>
      <c r="H47" s="535"/>
      <c r="I47" s="535"/>
      <c r="J47" s="535"/>
      <c r="K47" s="535"/>
      <c r="L47" s="535"/>
      <c r="M47" s="535"/>
      <c r="N47" s="535"/>
      <c r="O47" s="535"/>
      <c r="P47" s="535"/>
      <c r="Q47" s="535"/>
      <c r="R47" s="535"/>
      <c r="S47" s="535"/>
      <c r="T47" s="535"/>
      <c r="U47" s="535"/>
      <c r="V47" s="535"/>
      <c r="W47" s="535"/>
      <c r="X47" s="535"/>
      <c r="Y47" s="535"/>
      <c r="Z47" s="535"/>
      <c r="AA47" s="535"/>
      <c r="AB47" s="535"/>
      <c r="AC47" s="535"/>
      <c r="AG47" s="492"/>
      <c r="AH47" s="492"/>
      <c r="AI47" s="492"/>
      <c r="AJ47" s="492"/>
      <c r="AK47" s="492"/>
      <c r="AL47" s="492"/>
      <c r="AM47" s="492"/>
      <c r="AN47" s="492"/>
      <c r="AO47" s="492"/>
      <c r="AP47" s="492"/>
      <c r="AQ47" s="492"/>
      <c r="AR47" s="492"/>
      <c r="AS47" s="492"/>
      <c r="AT47" s="492"/>
      <c r="AU47" s="492"/>
      <c r="AV47" s="492"/>
      <c r="AW47" s="492"/>
      <c r="AX47" s="492"/>
      <c r="AY47" s="492"/>
      <c r="AZ47" s="492"/>
      <c r="BA47" s="492"/>
      <c r="BB47" s="492"/>
      <c r="BC47" s="492"/>
      <c r="BD47" s="492"/>
      <c r="BE47" s="492"/>
      <c r="BF47" s="492"/>
      <c r="BG47" s="492"/>
      <c r="BH47" s="492"/>
      <c r="BI47" s="492"/>
      <c r="BJ47" s="492"/>
      <c r="BK47" s="492"/>
      <c r="BL47" s="492"/>
      <c r="BM47" s="492"/>
      <c r="BN47" s="492"/>
      <c r="BO47" s="492"/>
      <c r="BP47" s="492"/>
      <c r="BQ47" s="492"/>
      <c r="BR47" s="492"/>
      <c r="BS47" s="492"/>
      <c r="BT47" s="492"/>
      <c r="BU47" s="492"/>
      <c r="BV47" s="492"/>
      <c r="BW47" s="492"/>
      <c r="BX47" s="492"/>
      <c r="BY47" s="492"/>
      <c r="BZ47" s="492"/>
    </row>
    <row r="48" spans="1:78" ht="19.5" customHeight="1" x14ac:dyDescent="0.25">
      <c r="A48" s="492"/>
      <c r="B48" s="245" t="s">
        <v>867</v>
      </c>
      <c r="C48" s="245"/>
      <c r="D48" s="245"/>
      <c r="E48" s="245"/>
      <c r="F48" s="535"/>
      <c r="G48" s="535"/>
      <c r="H48" s="535"/>
      <c r="I48" s="535"/>
      <c r="J48" s="535"/>
      <c r="K48" s="535"/>
      <c r="L48" s="535"/>
      <c r="M48" s="535"/>
      <c r="N48" s="535"/>
      <c r="O48" s="535"/>
      <c r="P48" s="535"/>
      <c r="Q48" s="535"/>
      <c r="R48" s="535"/>
      <c r="S48" s="535"/>
      <c r="T48" s="535">
        <v>110.8</v>
      </c>
      <c r="U48" s="514">
        <v>96.021999999999991</v>
      </c>
      <c r="V48" s="210">
        <v>88.50800000000001</v>
      </c>
      <c r="W48" s="210">
        <v>88.50800000000001</v>
      </c>
      <c r="X48" s="210">
        <v>85.631</v>
      </c>
      <c r="Y48" s="210">
        <v>85.631</v>
      </c>
      <c r="Z48" s="210">
        <v>85.631</v>
      </c>
      <c r="AA48" s="210">
        <v>85.631</v>
      </c>
      <c r="AB48" s="210">
        <v>90.463999999999999</v>
      </c>
      <c r="AC48" s="210">
        <v>90.463999999999999</v>
      </c>
      <c r="AD48" s="513">
        <f>U11-U48</f>
        <v>4.6780000000000115</v>
      </c>
      <c r="AG48" s="492"/>
      <c r="AH48" s="492"/>
      <c r="AI48" s="492"/>
      <c r="AJ48" s="492"/>
      <c r="AK48" s="492"/>
      <c r="AL48" s="492"/>
      <c r="AM48" s="492"/>
      <c r="AN48" s="492"/>
      <c r="AO48" s="492"/>
      <c r="AP48" s="492"/>
      <c r="AQ48" s="492"/>
      <c r="AR48" s="492"/>
      <c r="AS48" s="492"/>
      <c r="AT48" s="492"/>
      <c r="AU48" s="492"/>
      <c r="AV48" s="492"/>
      <c r="AW48" s="492"/>
      <c r="AX48" s="492"/>
      <c r="AY48" s="492"/>
      <c r="AZ48" s="492"/>
      <c r="BA48" s="492"/>
      <c r="BB48" s="492"/>
      <c r="BC48" s="492"/>
      <c r="BD48" s="492"/>
      <c r="BE48" s="492"/>
      <c r="BF48" s="492"/>
      <c r="BG48" s="492"/>
      <c r="BH48" s="492"/>
      <c r="BI48" s="492"/>
      <c r="BJ48" s="492"/>
      <c r="BK48" s="492"/>
      <c r="BL48" s="492"/>
      <c r="BM48" s="492"/>
      <c r="BN48" s="492"/>
      <c r="BO48" s="492"/>
      <c r="BP48" s="492"/>
      <c r="BQ48" s="492"/>
      <c r="BR48" s="492"/>
      <c r="BS48" s="492"/>
      <c r="BT48" s="492"/>
      <c r="BU48" s="492"/>
      <c r="BV48" s="492"/>
      <c r="BW48" s="492"/>
      <c r="BX48" s="492"/>
      <c r="BY48" s="492"/>
      <c r="BZ48" s="492"/>
    </row>
    <row r="49" spans="2:30" x14ac:dyDescent="0.25">
      <c r="B49" s="509" t="s">
        <v>405</v>
      </c>
      <c r="C49" s="222"/>
      <c r="D49" s="222"/>
      <c r="E49" s="222"/>
      <c r="F49" s="222"/>
      <c r="G49" s="222"/>
      <c r="H49" s="222"/>
      <c r="I49" s="222"/>
      <c r="J49" s="222"/>
      <c r="K49" s="222"/>
      <c r="L49" s="222"/>
      <c r="M49" s="222"/>
      <c r="N49" s="222"/>
      <c r="O49" s="222"/>
      <c r="P49" s="478"/>
      <c r="Q49" s="478"/>
      <c r="R49" s="478"/>
      <c r="S49" s="478"/>
      <c r="T49" s="510">
        <v>78.977999999999994</v>
      </c>
      <c r="U49" s="511">
        <v>76</v>
      </c>
      <c r="V49" s="511">
        <v>76</v>
      </c>
      <c r="W49" s="511">
        <v>76</v>
      </c>
      <c r="X49" s="511">
        <v>76</v>
      </c>
      <c r="Y49" s="511">
        <v>76</v>
      </c>
      <c r="Z49" s="511">
        <v>76</v>
      </c>
      <c r="AA49" s="511">
        <v>76</v>
      </c>
      <c r="AB49" s="511">
        <v>76</v>
      </c>
      <c r="AC49" s="511">
        <v>76</v>
      </c>
      <c r="AD49" s="513">
        <f t="shared" ref="AD49:AD83" si="39">U12-U49</f>
        <v>12.192000000000007</v>
      </c>
    </row>
    <row r="50" spans="2:30" x14ac:dyDescent="0.25">
      <c r="B50" t="s">
        <v>406</v>
      </c>
      <c r="T50" s="183">
        <v>31.822000000000003</v>
      </c>
      <c r="U50" s="183">
        <v>20.021999999999998</v>
      </c>
      <c r="V50" s="183">
        <v>12.508000000000003</v>
      </c>
      <c r="W50" s="183">
        <v>12.508000000000003</v>
      </c>
      <c r="X50" s="183">
        <v>9.6310000000000002</v>
      </c>
      <c r="Y50" s="183">
        <v>9.6310000000000002</v>
      </c>
      <c r="Z50" s="183">
        <v>9.6310000000000002</v>
      </c>
      <c r="AA50" s="183">
        <v>9.6310000000000002</v>
      </c>
      <c r="AB50" s="183">
        <v>14.464</v>
      </c>
      <c r="AC50" s="183">
        <v>14.464</v>
      </c>
      <c r="AD50" s="513">
        <f t="shared" si="39"/>
        <v>-7.5139999999999958</v>
      </c>
    </row>
    <row r="51" spans="2:30" x14ac:dyDescent="0.25">
      <c r="B51" t="s">
        <v>50</v>
      </c>
      <c r="S51" s="35"/>
      <c r="T51" s="73">
        <v>0</v>
      </c>
      <c r="U51" s="183"/>
      <c r="V51" s="183"/>
      <c r="W51" s="183"/>
      <c r="X51" s="183"/>
      <c r="Y51" s="183"/>
      <c r="AD51" s="513">
        <f t="shared" si="39"/>
        <v>0</v>
      </c>
    </row>
    <row r="52" spans="2:30" x14ac:dyDescent="0.25">
      <c r="B52" t="s">
        <v>407</v>
      </c>
      <c r="T52" s="73">
        <v>28.200000000000003</v>
      </c>
      <c r="U52" s="73">
        <v>16.399999999999999</v>
      </c>
      <c r="V52" s="73">
        <v>8.886000000000001</v>
      </c>
      <c r="W52" s="73">
        <v>8.886000000000001</v>
      </c>
      <c r="X52" s="73">
        <v>0.2</v>
      </c>
      <c r="Y52" s="73">
        <v>0.2</v>
      </c>
      <c r="Z52" s="73">
        <v>0.2</v>
      </c>
      <c r="AA52" s="73">
        <v>0.2</v>
      </c>
      <c r="AB52" s="73">
        <v>0</v>
      </c>
      <c r="AC52" s="73">
        <v>0</v>
      </c>
      <c r="AD52" s="513">
        <f t="shared" si="39"/>
        <v>-7.5139999999999976</v>
      </c>
    </row>
    <row r="53" spans="2:30" x14ac:dyDescent="0.25">
      <c r="B53" t="s">
        <v>145</v>
      </c>
      <c r="T53" s="73">
        <v>0</v>
      </c>
      <c r="U53" s="183"/>
      <c r="V53" s="183"/>
      <c r="W53" s="183"/>
      <c r="X53" s="183"/>
      <c r="Y53" s="183"/>
      <c r="AD53" s="513">
        <f t="shared" si="39"/>
        <v>0</v>
      </c>
    </row>
    <row r="54" spans="2:30" x14ac:dyDescent="0.25">
      <c r="B54" t="s">
        <v>143</v>
      </c>
      <c r="T54" s="73">
        <v>0</v>
      </c>
      <c r="U54" s="183">
        <v>0</v>
      </c>
      <c r="V54" s="183">
        <v>0</v>
      </c>
      <c r="W54" s="183">
        <v>0</v>
      </c>
      <c r="X54" s="183">
        <v>0</v>
      </c>
      <c r="Y54" s="183">
        <v>0</v>
      </c>
      <c r="Z54" s="183">
        <v>0</v>
      </c>
      <c r="AA54" s="183">
        <v>0</v>
      </c>
      <c r="AB54" s="183">
        <v>0</v>
      </c>
      <c r="AC54" s="183">
        <v>0</v>
      </c>
      <c r="AD54" s="513">
        <f t="shared" si="39"/>
        <v>0</v>
      </c>
    </row>
    <row r="55" spans="2:30" x14ac:dyDescent="0.25">
      <c r="B55" t="s">
        <v>142</v>
      </c>
      <c r="T55" s="73">
        <v>0.4</v>
      </c>
      <c r="U55" s="183">
        <v>0</v>
      </c>
      <c r="V55" s="183">
        <v>0</v>
      </c>
      <c r="W55" s="183">
        <v>0</v>
      </c>
      <c r="X55" s="183">
        <v>0</v>
      </c>
      <c r="Y55" s="183">
        <v>0</v>
      </c>
      <c r="Z55" s="183">
        <v>0</v>
      </c>
      <c r="AA55" s="183">
        <v>0</v>
      </c>
      <c r="AB55" s="183">
        <v>0</v>
      </c>
      <c r="AC55" s="183">
        <v>0</v>
      </c>
      <c r="AD55" s="513">
        <f t="shared" si="39"/>
        <v>0</v>
      </c>
    </row>
    <row r="56" spans="2:30" x14ac:dyDescent="0.25">
      <c r="B56" t="s">
        <v>411</v>
      </c>
      <c r="T56" s="73">
        <v>3.6</v>
      </c>
      <c r="U56" s="183"/>
      <c r="V56" s="183"/>
      <c r="W56" s="183"/>
      <c r="X56" s="183"/>
      <c r="Y56" s="183"/>
      <c r="AD56" s="513">
        <f t="shared" si="39"/>
        <v>0</v>
      </c>
    </row>
    <row r="57" spans="2:30" x14ac:dyDescent="0.25">
      <c r="B57" t="s">
        <v>144</v>
      </c>
      <c r="T57" s="73">
        <v>15.8</v>
      </c>
      <c r="U57" s="183">
        <v>8</v>
      </c>
      <c r="V57" s="183">
        <v>0.48599999999999993</v>
      </c>
      <c r="W57" s="183">
        <v>0.48599999999999993</v>
      </c>
      <c r="X57" s="183">
        <v>0</v>
      </c>
      <c r="Y57" s="183">
        <v>0</v>
      </c>
      <c r="Z57" s="183">
        <v>0</v>
      </c>
      <c r="AA57" s="183">
        <v>0</v>
      </c>
      <c r="AB57" s="183">
        <v>0</v>
      </c>
      <c r="AC57" s="183">
        <v>0</v>
      </c>
      <c r="AD57" s="513">
        <f t="shared" si="39"/>
        <v>-7.5140000000000002</v>
      </c>
    </row>
    <row r="58" spans="2:30" x14ac:dyDescent="0.25">
      <c r="B58" t="s">
        <v>148</v>
      </c>
      <c r="T58" s="73">
        <v>0</v>
      </c>
      <c r="U58" s="183">
        <v>0</v>
      </c>
      <c r="V58" s="183">
        <v>0</v>
      </c>
      <c r="W58" s="183">
        <v>0</v>
      </c>
      <c r="X58" s="183">
        <v>0</v>
      </c>
      <c r="Y58" s="183">
        <v>0</v>
      </c>
      <c r="Z58" s="183">
        <v>0</v>
      </c>
      <c r="AA58" s="183">
        <v>0</v>
      </c>
      <c r="AB58" s="183">
        <v>0</v>
      </c>
      <c r="AC58" s="183">
        <v>0</v>
      </c>
      <c r="AD58" s="513">
        <f t="shared" si="39"/>
        <v>0</v>
      </c>
    </row>
    <row r="59" spans="2:30" x14ac:dyDescent="0.25">
      <c r="B59" t="s">
        <v>414</v>
      </c>
      <c r="T59" s="73">
        <v>0</v>
      </c>
      <c r="U59" s="183">
        <v>0</v>
      </c>
      <c r="V59" s="183">
        <v>0</v>
      </c>
      <c r="W59" s="183">
        <v>0</v>
      </c>
      <c r="X59" s="183">
        <v>0</v>
      </c>
      <c r="Y59" s="183">
        <v>0</v>
      </c>
      <c r="Z59" s="183">
        <v>0</v>
      </c>
      <c r="AA59" s="183">
        <v>0</v>
      </c>
      <c r="AB59" s="183">
        <v>0</v>
      </c>
      <c r="AC59" s="183">
        <v>0</v>
      </c>
      <c r="AD59" s="513">
        <f t="shared" si="39"/>
        <v>0</v>
      </c>
    </row>
    <row r="60" spans="2:30" x14ac:dyDescent="0.25">
      <c r="B60" t="s">
        <v>415</v>
      </c>
      <c r="T60" s="73">
        <v>0</v>
      </c>
      <c r="U60" s="183">
        <v>0</v>
      </c>
      <c r="V60" s="183">
        <v>0</v>
      </c>
      <c r="W60" s="183">
        <v>0</v>
      </c>
      <c r="X60" s="183">
        <v>0</v>
      </c>
      <c r="Y60" s="183">
        <v>0</v>
      </c>
      <c r="Z60" s="183">
        <v>0</v>
      </c>
      <c r="AA60" s="183">
        <v>0</v>
      </c>
      <c r="AB60" s="183">
        <v>0</v>
      </c>
      <c r="AC60" s="183">
        <v>0</v>
      </c>
      <c r="AD60" s="513">
        <f t="shared" si="39"/>
        <v>0</v>
      </c>
    </row>
    <row r="61" spans="2:30" x14ac:dyDescent="0.25">
      <c r="B61" t="s">
        <v>416</v>
      </c>
      <c r="T61" s="183">
        <v>8.4</v>
      </c>
      <c r="U61" s="183">
        <v>8.4</v>
      </c>
      <c r="V61" s="183">
        <v>8.4</v>
      </c>
      <c r="W61" s="183">
        <v>8.4</v>
      </c>
      <c r="X61" s="183">
        <v>0.2</v>
      </c>
      <c r="Y61" s="183">
        <v>0.2</v>
      </c>
      <c r="Z61" s="183">
        <v>0.2</v>
      </c>
      <c r="AA61" s="183">
        <v>0.2</v>
      </c>
      <c r="AB61" s="183">
        <v>0</v>
      </c>
      <c r="AC61" s="183">
        <v>0</v>
      </c>
      <c r="AD61" s="513">
        <f t="shared" si="39"/>
        <v>0</v>
      </c>
    </row>
    <row r="62" spans="2:30" x14ac:dyDescent="0.25">
      <c r="B62" t="s">
        <v>417</v>
      </c>
      <c r="T62" s="183">
        <v>0</v>
      </c>
      <c r="U62" s="183">
        <v>0</v>
      </c>
      <c r="V62" s="183">
        <v>0</v>
      </c>
      <c r="W62" s="183">
        <v>0</v>
      </c>
      <c r="X62" s="183">
        <v>0</v>
      </c>
      <c r="Y62" s="183">
        <v>0</v>
      </c>
      <c r="Z62" s="183">
        <v>0</v>
      </c>
      <c r="AA62" s="183">
        <v>0</v>
      </c>
      <c r="AB62" s="183">
        <v>0</v>
      </c>
      <c r="AC62" s="183">
        <v>0</v>
      </c>
      <c r="AD62" s="513">
        <f t="shared" si="39"/>
        <v>0</v>
      </c>
    </row>
    <row r="63" spans="2:30" x14ac:dyDescent="0.25">
      <c r="B63" t="s">
        <v>1382</v>
      </c>
      <c r="T63" s="183">
        <v>2.3250000000000002</v>
      </c>
      <c r="U63" s="183">
        <v>2.3250000000000002</v>
      </c>
      <c r="V63" s="183">
        <v>2.3250000000000002</v>
      </c>
      <c r="W63" s="183">
        <v>2.3250000000000002</v>
      </c>
      <c r="X63" s="183">
        <v>5.5830000000000002</v>
      </c>
      <c r="Y63" s="183">
        <v>5.5830000000000002</v>
      </c>
      <c r="Z63" s="183">
        <v>5.5830000000000002</v>
      </c>
      <c r="AA63" s="183">
        <v>5.5830000000000002</v>
      </c>
      <c r="AB63" s="183">
        <v>8.0220000000000002</v>
      </c>
      <c r="AC63" s="183">
        <v>8.0220000000000002</v>
      </c>
      <c r="AD63" s="513">
        <f t="shared" si="39"/>
        <v>0</v>
      </c>
    </row>
    <row r="64" spans="2:30" x14ac:dyDescent="0.25">
      <c r="B64" t="s">
        <v>1190</v>
      </c>
      <c r="T64" s="183">
        <v>1.2969999999999999</v>
      </c>
      <c r="U64" s="183">
        <v>1.2969999999999999</v>
      </c>
      <c r="V64" s="183">
        <v>1.2969999999999999</v>
      </c>
      <c r="W64" s="183">
        <v>1.2969999999999999</v>
      </c>
      <c r="X64" s="183">
        <v>3.8479999999999999</v>
      </c>
      <c r="Y64" s="183">
        <v>3.8479999999999999</v>
      </c>
      <c r="Z64" s="183">
        <v>3.8479999999999999</v>
      </c>
      <c r="AA64" s="183">
        <v>3.8479999999999999</v>
      </c>
      <c r="AB64" s="183">
        <v>6.4420000000000002</v>
      </c>
      <c r="AC64" s="183">
        <v>6.4420000000000002</v>
      </c>
      <c r="AD64" s="513">
        <f t="shared" si="39"/>
        <v>0</v>
      </c>
    </row>
    <row r="65" spans="2:30" x14ac:dyDescent="0.25">
      <c r="B65" t="s">
        <v>418</v>
      </c>
      <c r="T65" s="183"/>
      <c r="U65" s="183"/>
      <c r="AD65" s="513">
        <f t="shared" si="39"/>
        <v>0</v>
      </c>
    </row>
    <row r="66" spans="2:30" x14ac:dyDescent="0.25">
      <c r="B66" t="s">
        <v>419</v>
      </c>
      <c r="T66" s="183"/>
      <c r="U66" s="183"/>
      <c r="AD66" s="513">
        <f t="shared" si="39"/>
        <v>0</v>
      </c>
    </row>
    <row r="67" spans="2:30" x14ac:dyDescent="0.25">
      <c r="B67" t="s">
        <v>420</v>
      </c>
      <c r="T67" s="183"/>
      <c r="U67" s="183"/>
      <c r="AD67" s="513">
        <f t="shared" si="39"/>
        <v>0</v>
      </c>
    </row>
    <row r="68" spans="2:30" x14ac:dyDescent="0.25">
      <c r="B68" t="s">
        <v>417</v>
      </c>
      <c r="T68" s="183"/>
      <c r="U68" s="183"/>
      <c r="AD68" s="513">
        <f t="shared" si="39"/>
        <v>0</v>
      </c>
    </row>
    <row r="69" spans="2:30" x14ac:dyDescent="0.25">
      <c r="B69" t="s">
        <v>414</v>
      </c>
      <c r="T69" s="512"/>
      <c r="U69" s="512"/>
      <c r="AD69" s="513">
        <f t="shared" si="39"/>
        <v>0</v>
      </c>
    </row>
    <row r="70" spans="2:30" x14ac:dyDescent="0.25">
      <c r="B70" t="s">
        <v>421</v>
      </c>
      <c r="T70" s="512"/>
      <c r="U70" s="512"/>
      <c r="AD70" s="513">
        <f t="shared" si="39"/>
        <v>0</v>
      </c>
    </row>
    <row r="71" spans="2:30" x14ac:dyDescent="0.25">
      <c r="B71" t="s">
        <v>422</v>
      </c>
      <c r="T71" s="183"/>
      <c r="U71" s="183"/>
      <c r="AD71" s="513">
        <f t="shared" si="39"/>
        <v>0</v>
      </c>
    </row>
    <row r="72" spans="2:30" x14ac:dyDescent="0.25">
      <c r="B72" t="s">
        <v>423</v>
      </c>
      <c r="T72" s="183"/>
      <c r="U72" s="183"/>
      <c r="AD72" s="513">
        <f t="shared" si="39"/>
        <v>0</v>
      </c>
    </row>
    <row r="73" spans="2:30" x14ac:dyDescent="0.25">
      <c r="B73" t="s">
        <v>143</v>
      </c>
      <c r="T73" s="183">
        <v>0</v>
      </c>
      <c r="U73" s="183">
        <v>0</v>
      </c>
      <c r="V73" s="183">
        <v>0</v>
      </c>
      <c r="W73" s="183">
        <v>0</v>
      </c>
      <c r="X73" s="183">
        <v>0</v>
      </c>
      <c r="Y73" s="183">
        <v>0</v>
      </c>
      <c r="Z73" s="183">
        <v>0</v>
      </c>
      <c r="AA73" s="183">
        <v>0</v>
      </c>
      <c r="AB73" s="183">
        <v>0</v>
      </c>
      <c r="AC73" s="183">
        <v>0</v>
      </c>
      <c r="AD73" s="513">
        <f t="shared" si="39"/>
        <v>0</v>
      </c>
    </row>
    <row r="74" spans="2:30" x14ac:dyDescent="0.25">
      <c r="B74" t="s">
        <v>424</v>
      </c>
      <c r="T74" s="183">
        <v>0.48599999999999993</v>
      </c>
      <c r="U74" s="183">
        <v>0.48599999999999993</v>
      </c>
      <c r="V74" s="183">
        <v>0.48599999999999993</v>
      </c>
      <c r="W74" s="183">
        <v>0.48599999999999993</v>
      </c>
      <c r="X74" s="183">
        <v>0</v>
      </c>
      <c r="Y74" s="183">
        <v>0</v>
      </c>
      <c r="Z74" s="183">
        <v>0</v>
      </c>
      <c r="AA74" s="183">
        <v>0</v>
      </c>
      <c r="AB74" s="183">
        <v>0</v>
      </c>
      <c r="AC74" s="183">
        <v>0</v>
      </c>
      <c r="AD74" s="513">
        <f t="shared" si="39"/>
        <v>0</v>
      </c>
    </row>
    <row r="75" spans="2:30" x14ac:dyDescent="0.25">
      <c r="B75" t="s">
        <v>148</v>
      </c>
      <c r="T75" s="183">
        <v>0</v>
      </c>
      <c r="U75" s="183">
        <v>0</v>
      </c>
      <c r="V75" s="183">
        <v>0</v>
      </c>
      <c r="W75" s="183">
        <v>0</v>
      </c>
      <c r="X75" s="183">
        <v>0</v>
      </c>
      <c r="Y75" s="183">
        <v>0</v>
      </c>
      <c r="Z75" s="183">
        <v>0</v>
      </c>
      <c r="AA75" s="183">
        <v>0</v>
      </c>
      <c r="AB75" s="183">
        <v>0</v>
      </c>
      <c r="AC75" s="183">
        <v>0</v>
      </c>
      <c r="AD75" s="513">
        <f t="shared" si="39"/>
        <v>0</v>
      </c>
    </row>
    <row r="76" spans="2:30" x14ac:dyDescent="0.25">
      <c r="B76" t="s">
        <v>414</v>
      </c>
      <c r="T76" s="183">
        <v>0.78750000000000009</v>
      </c>
      <c r="U76" s="183">
        <v>0.78750000000000009</v>
      </c>
      <c r="V76" s="183">
        <v>0.78750000000000009</v>
      </c>
      <c r="W76" s="183">
        <v>0.78750000000000009</v>
      </c>
      <c r="X76" s="183">
        <v>0</v>
      </c>
      <c r="Y76" s="183">
        <v>0</v>
      </c>
      <c r="Z76" s="183">
        <v>0</v>
      </c>
      <c r="AA76" s="183">
        <v>0</v>
      </c>
      <c r="AB76" s="183">
        <v>0</v>
      </c>
      <c r="AC76" s="183">
        <v>0</v>
      </c>
      <c r="AD76" s="513">
        <f t="shared" si="39"/>
        <v>0</v>
      </c>
    </row>
    <row r="77" spans="2:30" x14ac:dyDescent="0.25">
      <c r="B77" t="s">
        <v>425</v>
      </c>
      <c r="T77" s="183">
        <v>1.3125000000000002</v>
      </c>
      <c r="U77" s="183">
        <v>1.3125000000000002</v>
      </c>
      <c r="V77" s="183">
        <v>1.3125000000000002</v>
      </c>
      <c r="W77" s="183">
        <v>1.3125000000000002</v>
      </c>
      <c r="X77" s="183">
        <v>0</v>
      </c>
      <c r="Y77" s="183">
        <v>0</v>
      </c>
      <c r="Z77" s="183">
        <v>0</v>
      </c>
      <c r="AA77" s="183">
        <v>0</v>
      </c>
      <c r="AB77" s="183">
        <v>0</v>
      </c>
      <c r="AC77" s="183">
        <v>0</v>
      </c>
      <c r="AD77" s="513">
        <f t="shared" si="39"/>
        <v>0</v>
      </c>
    </row>
    <row r="78" spans="2:30" x14ac:dyDescent="0.25">
      <c r="B78" t="s">
        <v>426</v>
      </c>
      <c r="T78" s="183">
        <v>8.4</v>
      </c>
      <c r="U78" s="183">
        <v>8.4</v>
      </c>
      <c r="V78" s="183">
        <v>8.4</v>
      </c>
      <c r="W78" s="183">
        <v>8.4</v>
      </c>
      <c r="X78" s="183">
        <v>0.2</v>
      </c>
      <c r="Y78" s="183">
        <v>0.2</v>
      </c>
      <c r="Z78" s="183">
        <v>0.2</v>
      </c>
      <c r="AA78" s="183">
        <v>0.2</v>
      </c>
      <c r="AB78" s="183">
        <v>0</v>
      </c>
      <c r="AC78" s="183">
        <v>0</v>
      </c>
      <c r="AD78" s="513">
        <f t="shared" si="39"/>
        <v>0</v>
      </c>
    </row>
    <row r="79" spans="2:30" x14ac:dyDescent="0.25">
      <c r="B79" t="s">
        <v>427</v>
      </c>
      <c r="T79" s="183">
        <v>0</v>
      </c>
      <c r="U79" s="183">
        <v>0</v>
      </c>
      <c r="V79" s="183">
        <v>0</v>
      </c>
      <c r="W79" s="183">
        <v>0</v>
      </c>
      <c r="X79" s="183">
        <v>0</v>
      </c>
      <c r="Y79" s="183">
        <v>0</v>
      </c>
      <c r="Z79" s="183">
        <v>0</v>
      </c>
      <c r="AA79" s="183">
        <v>0</v>
      </c>
      <c r="AB79" s="183">
        <v>0</v>
      </c>
      <c r="AC79" s="183">
        <v>0</v>
      </c>
      <c r="AD79" s="513">
        <f t="shared" si="39"/>
        <v>0</v>
      </c>
    </row>
    <row r="80" spans="2:30" x14ac:dyDescent="0.25">
      <c r="B80" t="s">
        <v>312</v>
      </c>
      <c r="T80" s="183">
        <v>12.362</v>
      </c>
      <c r="U80" s="183">
        <v>12.362</v>
      </c>
      <c r="V80" s="183">
        <v>12.362</v>
      </c>
      <c r="W80" s="183">
        <v>12.362</v>
      </c>
      <c r="X80" s="183">
        <v>-0.67500000000000004</v>
      </c>
      <c r="Y80" s="183">
        <v>-0.67500000000000004</v>
      </c>
      <c r="Z80" s="183">
        <v>-0.67500000000000004</v>
      </c>
      <c r="AA80" s="183">
        <v>-0.67500000000000004</v>
      </c>
      <c r="AB80" s="183">
        <v>0</v>
      </c>
      <c r="AC80" s="183">
        <v>0</v>
      </c>
      <c r="AD80" s="513">
        <f t="shared" si="39"/>
        <v>0</v>
      </c>
    </row>
    <row r="81" spans="2:30" x14ac:dyDescent="0.25">
      <c r="B81" t="s">
        <v>428</v>
      </c>
      <c r="T81" s="183"/>
      <c r="U81" s="183"/>
      <c r="AD81" s="513">
        <f t="shared" si="39"/>
        <v>0</v>
      </c>
    </row>
    <row r="82" spans="2:30" x14ac:dyDescent="0.25">
      <c r="B82" t="s">
        <v>429</v>
      </c>
      <c r="T82" s="183">
        <v>12.726000000000001</v>
      </c>
      <c r="U82" s="183">
        <v>12.726000000000001</v>
      </c>
      <c r="V82" s="183">
        <v>12.726000000000001</v>
      </c>
      <c r="W82" s="183">
        <v>12.726000000000001</v>
      </c>
      <c r="X82" s="183">
        <v>1.365</v>
      </c>
      <c r="Y82" s="183">
        <v>1.365</v>
      </c>
      <c r="Z82" s="183">
        <v>1.365</v>
      </c>
      <c r="AA82" s="183">
        <v>1.365</v>
      </c>
      <c r="AB82" s="183">
        <v>-0.90100000000000025</v>
      </c>
      <c r="AC82" s="183">
        <v>-0.90100000000000025</v>
      </c>
      <c r="AD82" s="513">
        <f t="shared" si="39"/>
        <v>0</v>
      </c>
    </row>
    <row r="83" spans="2:30" x14ac:dyDescent="0.25">
      <c r="B83" t="s">
        <v>199</v>
      </c>
      <c r="T83" s="73">
        <v>98.073999999999998</v>
      </c>
      <c r="U83" s="513">
        <v>83.295999999999992</v>
      </c>
      <c r="V83" s="73">
        <v>75.782000000000011</v>
      </c>
      <c r="W83" s="73">
        <v>75.782000000000011</v>
      </c>
      <c r="X83" s="73">
        <v>84.266000000000005</v>
      </c>
      <c r="Y83" s="73">
        <v>84.266000000000005</v>
      </c>
      <c r="Z83" s="73">
        <v>84.266000000000005</v>
      </c>
      <c r="AA83" s="73">
        <v>84.266000000000005</v>
      </c>
      <c r="AB83" s="73">
        <v>91.364999999999995</v>
      </c>
      <c r="AC83" s="73">
        <v>91.364999999999995</v>
      </c>
      <c r="AD83" s="513">
        <f t="shared" si="39"/>
        <v>4.6780000000000115</v>
      </c>
    </row>
    <row r="84" spans="2:30" x14ac:dyDescent="0.25">
      <c r="AD84" s="51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49"/>
  <sheetViews>
    <sheetView topLeftCell="A6" zoomScale="90" zoomScaleNormal="90" workbookViewId="0">
      <selection activeCell="Y29" sqref="Y29"/>
    </sheetView>
  </sheetViews>
  <sheetFormatPr defaultColWidth="10.8554687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36" x14ac:dyDescent="0.25">
      <c r="B1" s="1357" t="s">
        <v>54</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c r="AD1" s="193"/>
      <c r="AE1" s="193"/>
      <c r="AF1" s="193"/>
      <c r="AG1" s="193"/>
    </row>
    <row r="2" spans="2:36" ht="14.25" customHeight="1" x14ac:dyDescent="0.25">
      <c r="B2" s="1449" t="s">
        <v>862</v>
      </c>
      <c r="C2" s="1449"/>
      <c r="D2" s="1449"/>
      <c r="E2" s="1449"/>
      <c r="F2" s="1449"/>
      <c r="G2" s="1449"/>
      <c r="H2" s="1449"/>
      <c r="I2" s="1449"/>
      <c r="J2" s="1449"/>
      <c r="K2" s="1449"/>
      <c r="L2" s="1449"/>
      <c r="M2" s="1449"/>
      <c r="N2" s="1449"/>
      <c r="O2" s="1449"/>
      <c r="P2" s="1449"/>
      <c r="Q2" s="1449"/>
      <c r="R2" s="1449"/>
      <c r="S2" s="1449"/>
      <c r="T2" s="1449"/>
      <c r="U2" s="1449"/>
      <c r="V2" s="1448" t="s">
        <v>915</v>
      </c>
      <c r="W2" s="1448"/>
      <c r="X2" s="1448"/>
      <c r="Y2" s="1448"/>
      <c r="Z2" s="1448"/>
      <c r="AA2" s="1448"/>
      <c r="AB2" s="1448"/>
      <c r="AC2" s="595"/>
      <c r="AD2" s="595"/>
      <c r="AE2" s="595"/>
      <c r="AF2" s="595"/>
      <c r="AG2" s="595"/>
    </row>
    <row r="3" spans="2:36" ht="59.85" customHeight="1" x14ac:dyDescent="0.25">
      <c r="B3" s="1449"/>
      <c r="C3" s="1449"/>
      <c r="D3" s="1449"/>
      <c r="E3" s="1449"/>
      <c r="F3" s="1449"/>
      <c r="G3" s="1449"/>
      <c r="H3" s="1449"/>
      <c r="I3" s="1449"/>
      <c r="J3" s="1449"/>
      <c r="K3" s="1449"/>
      <c r="L3" s="1449"/>
      <c r="M3" s="1449"/>
      <c r="N3" s="1449"/>
      <c r="O3" s="1449"/>
      <c r="P3" s="1449"/>
      <c r="Q3" s="1449"/>
      <c r="R3" s="1449"/>
      <c r="S3" s="1449"/>
      <c r="T3" s="1449"/>
      <c r="U3" s="1449"/>
      <c r="V3" s="1448"/>
      <c r="W3" s="1448"/>
      <c r="X3" s="1448"/>
      <c r="Y3" s="1448"/>
      <c r="Z3" s="1448"/>
      <c r="AA3" s="1448"/>
      <c r="AB3" s="1448"/>
      <c r="AC3" s="595"/>
      <c r="AD3" s="595"/>
      <c r="AE3" s="595"/>
      <c r="AF3" s="595"/>
      <c r="AG3" s="595"/>
    </row>
    <row r="4" spans="2:36" ht="88.5" customHeight="1" x14ac:dyDescent="0.25">
      <c r="B4" s="1449"/>
      <c r="C4" s="1449"/>
      <c r="D4" s="1449"/>
      <c r="E4" s="1449"/>
      <c r="F4" s="1449"/>
      <c r="G4" s="1449"/>
      <c r="H4" s="1449"/>
      <c r="I4" s="1449"/>
      <c r="J4" s="1449"/>
      <c r="K4" s="1449"/>
      <c r="L4" s="1449"/>
      <c r="M4" s="1449"/>
      <c r="N4" s="1449"/>
      <c r="O4" s="1449"/>
      <c r="P4" s="1449"/>
      <c r="Q4" s="1449"/>
      <c r="R4" s="1449"/>
      <c r="S4" s="1449"/>
      <c r="T4" s="1449"/>
      <c r="U4" s="1449"/>
      <c r="V4" s="1448"/>
      <c r="W4" s="1448"/>
      <c r="X4" s="1448"/>
      <c r="Y4" s="1448"/>
      <c r="Z4" s="1448"/>
      <c r="AA4" s="1448"/>
      <c r="AB4" s="1448"/>
      <c r="AC4" s="595"/>
      <c r="AD4" s="595"/>
      <c r="AE4" s="595"/>
      <c r="AF4" s="595"/>
      <c r="AG4" s="595"/>
    </row>
    <row r="5" spans="2:36" ht="33" customHeight="1" x14ac:dyDescent="0.25">
      <c r="B5" s="595"/>
      <c r="C5" s="595"/>
      <c r="D5" s="595"/>
      <c r="E5" s="595"/>
      <c r="F5" s="595"/>
      <c r="G5" s="595"/>
      <c r="H5" s="595"/>
      <c r="I5" s="595"/>
      <c r="J5" s="595"/>
      <c r="K5" s="595"/>
      <c r="L5" s="595"/>
      <c r="M5" s="595"/>
      <c r="N5" s="595"/>
      <c r="O5" s="595"/>
      <c r="P5" s="595"/>
      <c r="Q5" s="595"/>
      <c r="R5" s="595"/>
      <c r="S5" s="595"/>
      <c r="T5" s="595"/>
      <c r="U5" s="595"/>
      <c r="V5" s="595"/>
      <c r="W5" s="595"/>
      <c r="X5" s="595"/>
      <c r="Y5" s="595"/>
      <c r="Z5" s="595"/>
      <c r="AA5" s="595"/>
      <c r="AB5" s="595"/>
      <c r="AC5" s="595"/>
      <c r="AD5" s="595"/>
      <c r="AE5" s="595"/>
      <c r="AF5" s="595"/>
      <c r="AG5" s="595"/>
    </row>
    <row r="6" spans="2:36" x14ac:dyDescent="0.25">
      <c r="B6" s="595"/>
      <c r="C6" s="595"/>
      <c r="D6" s="595"/>
      <c r="E6" s="595"/>
      <c r="F6" s="595"/>
      <c r="G6" s="595"/>
      <c r="H6" s="595"/>
      <c r="I6" s="595"/>
      <c r="J6" s="595"/>
      <c r="K6" s="595"/>
      <c r="L6" s="595"/>
      <c r="M6" s="595"/>
      <c r="N6" s="595"/>
      <c r="O6" s="595"/>
      <c r="P6" s="595"/>
      <c r="Q6" s="595"/>
      <c r="R6" s="595"/>
      <c r="S6" s="595"/>
      <c r="T6" s="595"/>
      <c r="U6" s="595"/>
      <c r="V6" s="595"/>
      <c r="W6" s="595"/>
      <c r="X6" s="595"/>
      <c r="Y6" s="595"/>
      <c r="Z6" s="595"/>
      <c r="AA6" s="595"/>
      <c r="AB6" s="595"/>
      <c r="AC6" s="595"/>
      <c r="AD6" s="595"/>
      <c r="AE6" s="595"/>
      <c r="AF6" s="595"/>
      <c r="AG6" s="595"/>
    </row>
    <row r="7" spans="2:36" ht="14.85" customHeight="1" x14ac:dyDescent="0.25">
      <c r="B7" s="1362" t="s">
        <v>404</v>
      </c>
      <c r="C7" s="1363"/>
      <c r="D7" s="1366" t="s">
        <v>280</v>
      </c>
      <c r="E7" s="1379"/>
      <c r="F7" s="1379"/>
      <c r="G7" s="1379"/>
      <c r="H7" s="1379"/>
      <c r="I7" s="1379"/>
      <c r="J7" s="1379"/>
      <c r="K7" s="1379"/>
      <c r="L7" s="1379"/>
      <c r="M7" s="1379"/>
      <c r="N7" s="1379"/>
      <c r="O7" s="1379"/>
      <c r="P7" s="1379"/>
      <c r="Q7" s="1379"/>
      <c r="R7" s="1379"/>
      <c r="S7" s="1379"/>
      <c r="T7" s="1379"/>
      <c r="U7" s="1379"/>
      <c r="V7" s="1367"/>
      <c r="W7" s="1390" t="s">
        <v>281</v>
      </c>
      <c r="X7" s="1391"/>
      <c r="Y7" s="1391"/>
      <c r="Z7" s="1391"/>
      <c r="AA7" s="1391"/>
      <c r="AB7" s="1391"/>
      <c r="AC7" s="1391"/>
      <c r="AD7" s="1391"/>
      <c r="AE7" s="1391"/>
      <c r="AF7" s="1391"/>
      <c r="AG7" s="1391"/>
    </row>
    <row r="8" spans="2:36" x14ac:dyDescent="0.25">
      <c r="B8" s="1364"/>
      <c r="C8" s="1380"/>
      <c r="D8" s="200">
        <v>2018</v>
      </c>
      <c r="E8" s="1371">
        <v>2019</v>
      </c>
      <c r="F8" s="1372"/>
      <c r="G8" s="1372"/>
      <c r="H8" s="1373"/>
      <c r="I8" s="1371">
        <v>2020</v>
      </c>
      <c r="J8" s="1372"/>
      <c r="K8" s="1372"/>
      <c r="L8" s="1372"/>
      <c r="M8" s="1371">
        <v>2021</v>
      </c>
      <c r="N8" s="1372"/>
      <c r="O8" s="1372"/>
      <c r="P8" s="1372"/>
      <c r="Q8" s="1371">
        <v>2022</v>
      </c>
      <c r="R8" s="1403"/>
      <c r="S8" s="1403"/>
      <c r="T8" s="1373"/>
      <c r="U8" s="270"/>
      <c r="V8" s="270">
        <v>2023</v>
      </c>
      <c r="W8" s="552"/>
      <c r="X8" s="242"/>
      <c r="Y8" s="1368">
        <v>2024</v>
      </c>
      <c r="Z8" s="1381"/>
      <c r="AA8" s="1381"/>
      <c r="AB8" s="1370"/>
      <c r="AC8" s="1368">
        <v>2025</v>
      </c>
      <c r="AD8" s="1381"/>
      <c r="AE8" s="1381"/>
      <c r="AF8" s="1370"/>
      <c r="AG8" s="498">
        <v>2026</v>
      </c>
      <c r="AH8" s="222"/>
      <c r="AI8" s="222"/>
      <c r="AJ8" s="222"/>
    </row>
    <row r="9" spans="2:36" x14ac:dyDescent="0.25">
      <c r="B9" s="1364"/>
      <c r="C9" s="1380"/>
      <c r="D9" s="195" t="s">
        <v>282</v>
      </c>
      <c r="E9" s="195" t="s">
        <v>283</v>
      </c>
      <c r="F9" s="196" t="s">
        <v>284</v>
      </c>
      <c r="G9" s="196" t="s">
        <v>238</v>
      </c>
      <c r="H9" s="197" t="s">
        <v>282</v>
      </c>
      <c r="I9" s="196" t="s">
        <v>283</v>
      </c>
      <c r="J9" s="196" t="s">
        <v>284</v>
      </c>
      <c r="K9" s="196" t="s">
        <v>238</v>
      </c>
      <c r="L9" s="196" t="s">
        <v>282</v>
      </c>
      <c r="M9" s="195" t="s">
        <v>283</v>
      </c>
      <c r="N9" s="196" t="s">
        <v>284</v>
      </c>
      <c r="O9" s="196" t="s">
        <v>238</v>
      </c>
      <c r="P9" s="196" t="s">
        <v>282</v>
      </c>
      <c r="Q9" s="195" t="s">
        <v>283</v>
      </c>
      <c r="R9" s="196" t="s">
        <v>284</v>
      </c>
      <c r="S9" s="196" t="s">
        <v>238</v>
      </c>
      <c r="T9" s="197" t="s">
        <v>282</v>
      </c>
      <c r="U9" s="196" t="s">
        <v>283</v>
      </c>
      <c r="V9" s="268" t="s">
        <v>284</v>
      </c>
      <c r="W9" s="252" t="s">
        <v>238</v>
      </c>
      <c r="X9" s="253" t="s">
        <v>282</v>
      </c>
      <c r="Y9" s="251" t="s">
        <v>283</v>
      </c>
      <c r="Z9" s="249" t="s">
        <v>284</v>
      </c>
      <c r="AA9" s="252" t="s">
        <v>238</v>
      </c>
      <c r="AB9" s="252" t="s">
        <v>282</v>
      </c>
      <c r="AC9" s="251" t="s">
        <v>283</v>
      </c>
      <c r="AD9" s="249" t="s">
        <v>284</v>
      </c>
      <c r="AE9" s="252" t="s">
        <v>238</v>
      </c>
      <c r="AF9" s="252" t="s">
        <v>282</v>
      </c>
      <c r="AG9" s="251" t="s">
        <v>283</v>
      </c>
      <c r="AH9" s="212"/>
      <c r="AI9" s="216"/>
      <c r="AJ9" s="216"/>
    </row>
    <row r="10" spans="2:36" x14ac:dyDescent="0.25">
      <c r="B10" s="561" t="s">
        <v>101</v>
      </c>
      <c r="C10" s="432" t="s">
        <v>430</v>
      </c>
      <c r="D10" s="570">
        <f>'Haver Pivoted'!GO13</f>
        <v>589.5</v>
      </c>
      <c r="E10" s="571">
        <f>'Haver Pivoted'!GP13</f>
        <v>598.70000000000005</v>
      </c>
      <c r="F10" s="571">
        <f>'Haver Pivoted'!GQ13</f>
        <v>614.4</v>
      </c>
      <c r="G10" s="571">
        <f>'Haver Pivoted'!GR13</f>
        <v>622.4</v>
      </c>
      <c r="H10" s="571">
        <f>'Haver Pivoted'!GS13</f>
        <v>620.6</v>
      </c>
      <c r="I10" s="571">
        <f>'Haver Pivoted'!GT13</f>
        <v>606.4</v>
      </c>
      <c r="J10" s="571">
        <f>'Haver Pivoted'!GU13</f>
        <v>654.6</v>
      </c>
      <c r="K10" s="571">
        <f>'Haver Pivoted'!GV13</f>
        <v>690.8</v>
      </c>
      <c r="L10" s="571">
        <f>'Haver Pivoted'!GW13</f>
        <v>678.6</v>
      </c>
      <c r="M10" s="571">
        <f>'Haver Pivoted'!GX13</f>
        <v>705</v>
      </c>
      <c r="N10" s="571">
        <f>'Haver Pivoted'!GY13</f>
        <v>745.7</v>
      </c>
      <c r="O10" s="571">
        <f>'Haver Pivoted'!GZ13</f>
        <v>749.2</v>
      </c>
      <c r="P10" s="571">
        <f>'Haver Pivoted'!HA13</f>
        <v>746.1</v>
      </c>
      <c r="Q10" s="571">
        <f>'Haver Pivoted'!HB13</f>
        <v>791.4</v>
      </c>
      <c r="R10" s="571">
        <f>'Haver Pivoted'!HC13</f>
        <v>818.7</v>
      </c>
      <c r="S10" s="572">
        <f>'Haver Pivoted'!HD13</f>
        <v>819</v>
      </c>
      <c r="T10" s="559">
        <f>'Haver Pivoted'!HE13</f>
        <v>828.4</v>
      </c>
      <c r="U10" s="572">
        <f>'Haver Pivoted'!HF13</f>
        <v>871.5</v>
      </c>
      <c r="V10" s="572">
        <f>'Haver Pivoted'!HG13</f>
        <v>911.4</v>
      </c>
      <c r="W10" s="572">
        <f>'Haver Pivoted'!HH13</f>
        <v>880.6</v>
      </c>
      <c r="X10" s="572">
        <f>'Haver Pivoted'!HI13</f>
        <v>868.3</v>
      </c>
      <c r="Y10" s="274"/>
      <c r="Z10" s="274"/>
      <c r="AA10" s="274"/>
      <c r="AB10" s="274"/>
      <c r="AC10" s="198"/>
      <c r="AD10" s="312"/>
      <c r="AE10" s="312"/>
      <c r="AF10" s="312"/>
      <c r="AG10" s="312"/>
      <c r="AH10" t="s">
        <v>1833</v>
      </c>
    </row>
    <row r="11" spans="2:36" x14ac:dyDescent="0.25">
      <c r="B11" s="547" t="s">
        <v>431</v>
      </c>
      <c r="C11" s="222" t="s">
        <v>339</v>
      </c>
      <c r="D11" s="591">
        <f>'Haver Pivoted'!GO40</f>
        <v>391.92099999999999</v>
      </c>
      <c r="E11" s="551">
        <f>'Haver Pivoted'!GP40</f>
        <v>406.23</v>
      </c>
      <c r="F11" s="551">
        <f>'Haver Pivoted'!GQ40</f>
        <v>414.87200000000001</v>
      </c>
      <c r="G11" s="551">
        <f>'Haver Pivoted'!GR40</f>
        <v>418.36200000000002</v>
      </c>
      <c r="H11" s="551">
        <f>'Haver Pivoted'!GS40</f>
        <v>414.971</v>
      </c>
      <c r="I11" s="551">
        <f>'Haver Pivoted'!GT40</f>
        <v>424.089</v>
      </c>
      <c r="J11" s="551">
        <f>'Haver Pivoted'!GU40</f>
        <v>505.45</v>
      </c>
      <c r="K11" s="551">
        <f>'Haver Pivoted'!GV40</f>
        <v>483.86599999999999</v>
      </c>
      <c r="L11" s="551">
        <f>'Haver Pivoted'!GW40</f>
        <v>506.75599999999997</v>
      </c>
      <c r="M11" s="551">
        <f>'Haver Pivoted'!GX40</f>
        <v>501.459</v>
      </c>
      <c r="N11" s="551">
        <f>'Haver Pivoted'!GY40</f>
        <v>526.38599999999997</v>
      </c>
      <c r="O11" s="551">
        <f>'Haver Pivoted'!GZ40</f>
        <v>541.66800000000001</v>
      </c>
      <c r="P11" s="551">
        <f>'Haver Pivoted'!HA40</f>
        <v>563.64300000000003</v>
      </c>
      <c r="Q11" s="551">
        <f>'Haver Pivoted'!HB40</f>
        <v>594.56200000000001</v>
      </c>
      <c r="R11" s="551">
        <f>'Haver Pivoted'!HC40</f>
        <v>595.59299999999996</v>
      </c>
      <c r="S11" s="554">
        <f>'Haver Pivoted'!HD40</f>
        <v>607.94899999999996</v>
      </c>
      <c r="T11" s="554">
        <f>'Haver Pivoted'!HE40</f>
        <v>607.13699999999994</v>
      </c>
      <c r="U11" s="554">
        <f>'Haver Pivoted'!HF40</f>
        <v>630.96299999999997</v>
      </c>
      <c r="V11" s="554">
        <f>'Haver Pivoted'!HG40</f>
        <v>639.71100000000001</v>
      </c>
      <c r="W11" s="554">
        <f>'Haver Pivoted'!HH40</f>
        <v>590.947</v>
      </c>
      <c r="X11" s="554">
        <f>'Haver Pivoted'!HI40</f>
        <v>616.99699999999996</v>
      </c>
      <c r="Y11" s="312"/>
      <c r="Z11" s="312"/>
      <c r="AA11" s="312"/>
      <c r="AB11" s="312"/>
      <c r="AC11" s="312"/>
      <c r="AD11" s="312"/>
      <c r="AE11" s="312"/>
      <c r="AF11" s="312"/>
      <c r="AG11" s="312"/>
    </row>
    <row r="12" spans="2:36" ht="27.6" customHeight="1" x14ac:dyDescent="0.25">
      <c r="B12" s="521" t="s">
        <v>896</v>
      </c>
      <c r="C12" s="36"/>
      <c r="D12" s="594">
        <f t="shared" ref="D12:N12" si="0">D11/D10</f>
        <v>0.66483630195080579</v>
      </c>
      <c r="E12" s="578">
        <f t="shared" si="0"/>
        <v>0.67852012694170705</v>
      </c>
      <c r="F12" s="578">
        <f t="shared" si="0"/>
        <v>0.67524739583333337</v>
      </c>
      <c r="G12" s="578">
        <f t="shared" si="0"/>
        <v>0.67217544987146538</v>
      </c>
      <c r="H12" s="578">
        <f t="shared" si="0"/>
        <v>0.66866097325169194</v>
      </c>
      <c r="I12" s="578">
        <f t="shared" si="0"/>
        <v>0.69935521108179421</v>
      </c>
      <c r="J12" s="578">
        <f t="shared" si="0"/>
        <v>0.77215093186678885</v>
      </c>
      <c r="K12" s="578">
        <f t="shared" si="0"/>
        <v>0.70044296467863354</v>
      </c>
      <c r="L12" s="578">
        <f t="shared" si="0"/>
        <v>0.74676687297376942</v>
      </c>
      <c r="M12" s="578">
        <f t="shared" si="0"/>
        <v>0.71128936170212764</v>
      </c>
      <c r="N12" s="578">
        <f t="shared" si="0"/>
        <v>0.70589513209065302</v>
      </c>
      <c r="O12" s="578">
        <f t="shared" ref="O12:T12" si="1">O11/O10</f>
        <v>0.72299519487453279</v>
      </c>
      <c r="P12" s="578">
        <f t="shared" si="1"/>
        <v>0.75545235223160434</v>
      </c>
      <c r="Q12" s="578">
        <f t="shared" si="1"/>
        <v>0.75127874652514537</v>
      </c>
      <c r="R12" s="578">
        <f t="shared" si="1"/>
        <v>0.72748625870282146</v>
      </c>
      <c r="S12" s="573">
        <f>S11/S10</f>
        <v>0.74230647130647121</v>
      </c>
      <c r="T12" s="573">
        <f t="shared" si="1"/>
        <v>0.73290318686624811</v>
      </c>
      <c r="U12" s="573">
        <f t="shared" ref="U12:W12" si="2">U11/U10</f>
        <v>0.72399655765920823</v>
      </c>
      <c r="V12" s="573">
        <f t="shared" si="2"/>
        <v>0.70189927583936806</v>
      </c>
      <c r="W12" s="573">
        <f t="shared" si="2"/>
        <v>0.6710731319554849</v>
      </c>
      <c r="X12" s="573">
        <f>X11/X10</f>
        <v>0.71058044454681557</v>
      </c>
      <c r="Y12" s="597">
        <v>0.67</v>
      </c>
      <c r="Z12" s="597">
        <f t="shared" ref="Z12" si="3">Y12</f>
        <v>0.67</v>
      </c>
      <c r="AA12" s="597">
        <f t="shared" ref="AA12" si="4">Z12</f>
        <v>0.67</v>
      </c>
      <c r="AB12" s="597">
        <f>AA12</f>
        <v>0.67</v>
      </c>
      <c r="AC12" s="597">
        <f t="shared" ref="AC12" si="5">AB12</f>
        <v>0.67</v>
      </c>
      <c r="AD12" s="597">
        <f t="shared" ref="AD12" si="6">AC12</f>
        <v>0.67</v>
      </c>
      <c r="AE12" s="597">
        <f t="shared" ref="AE12" si="7">AD12</f>
        <v>0.67</v>
      </c>
      <c r="AF12" s="597">
        <f t="shared" ref="AF12" si="8">AE12</f>
        <v>0.67</v>
      </c>
      <c r="AG12" s="597">
        <f t="shared" ref="AG12" si="9">AF12</f>
        <v>0.67</v>
      </c>
    </row>
    <row r="13" spans="2:36" ht="27.6" customHeight="1" x14ac:dyDescent="0.25">
      <c r="O13" s="35"/>
      <c r="P13" s="35"/>
      <c r="Q13" s="35"/>
      <c r="R13" s="35"/>
      <c r="S13" s="35"/>
      <c r="T13" s="35"/>
      <c r="U13" s="545">
        <v>871.5</v>
      </c>
      <c r="V13" s="545">
        <v>911.4</v>
      </c>
      <c r="W13" s="545">
        <v>880.6</v>
      </c>
      <c r="X13" s="198"/>
      <c r="Y13" s="555"/>
      <c r="Z13" s="555"/>
      <c r="AA13" s="555"/>
      <c r="AB13" s="555"/>
      <c r="AC13" s="555"/>
      <c r="AD13" s="555"/>
      <c r="AE13" s="555"/>
      <c r="AF13" s="555"/>
      <c r="AG13" s="555"/>
      <c r="AH13" s="35"/>
    </row>
    <row r="14" spans="2:36" x14ac:dyDescent="0.25">
      <c r="O14" s="35"/>
      <c r="P14" s="222"/>
      <c r="Q14" s="35"/>
      <c r="R14" s="35"/>
      <c r="S14" s="35"/>
      <c r="T14" s="551"/>
      <c r="U14" s="554">
        <v>630.96299999999997</v>
      </c>
      <c r="V14" s="554">
        <v>639.71100000000001</v>
      </c>
      <c r="W14" s="554">
        <v>590.947</v>
      </c>
      <c r="X14" s="312"/>
      <c r="Y14" s="216"/>
      <c r="Z14" s="216"/>
      <c r="AA14" s="216"/>
      <c r="AB14" s="216"/>
      <c r="AC14" s="216"/>
      <c r="AD14" s="216"/>
      <c r="AE14" s="216"/>
      <c r="AF14" s="216"/>
      <c r="AG14" s="216"/>
      <c r="AH14" s="35"/>
    </row>
    <row r="15" spans="2:36" x14ac:dyDescent="0.25">
      <c r="B15" s="509" t="s">
        <v>352</v>
      </c>
      <c r="O15" s="35"/>
      <c r="P15" s="222"/>
      <c r="Q15" s="35"/>
      <c r="R15" s="35"/>
      <c r="S15" s="35"/>
      <c r="T15" s="551"/>
      <c r="U15" s="573">
        <v>0.72399655765920823</v>
      </c>
      <c r="V15" s="573">
        <v>0.70189927583936806</v>
      </c>
      <c r="W15" s="573">
        <v>0.6710731319554849</v>
      </c>
      <c r="X15" s="597">
        <v>0.69</v>
      </c>
      <c r="Y15" s="216"/>
      <c r="Z15" s="216"/>
      <c r="AA15" s="216"/>
      <c r="AB15" s="216"/>
      <c r="AC15" s="216"/>
      <c r="AD15" s="216"/>
      <c r="AE15" s="216"/>
      <c r="AF15" s="216"/>
      <c r="AG15" s="216"/>
      <c r="AH15" s="35"/>
    </row>
    <row r="16" spans="2:36" ht="25.35" customHeight="1" x14ac:dyDescent="0.25">
      <c r="B16" s="565" t="s">
        <v>432</v>
      </c>
      <c r="C16" s="563">
        <v>2020</v>
      </c>
      <c r="D16" s="563">
        <v>2021</v>
      </c>
      <c r="E16" s="563">
        <v>2022</v>
      </c>
      <c r="F16" s="563">
        <v>2023</v>
      </c>
      <c r="G16" s="563">
        <v>2024</v>
      </c>
      <c r="H16" s="563">
        <v>2025</v>
      </c>
      <c r="I16" s="563">
        <v>2026</v>
      </c>
      <c r="J16" s="564">
        <v>2027</v>
      </c>
      <c r="O16" s="35"/>
      <c r="P16" s="222"/>
      <c r="Q16" s="35"/>
      <c r="R16" s="35"/>
      <c r="S16" s="35"/>
      <c r="T16" s="555"/>
      <c r="U16" s="555"/>
      <c r="V16" s="555"/>
      <c r="W16" s="555"/>
      <c r="X16" s="555"/>
      <c r="Y16" s="555"/>
      <c r="Z16" s="555"/>
      <c r="AA16" s="555"/>
      <c r="AB16" s="555"/>
      <c r="AC16" s="555"/>
      <c r="AD16" s="555"/>
      <c r="AE16" s="555"/>
      <c r="AF16" s="555"/>
      <c r="AG16" s="555"/>
      <c r="AH16" s="35"/>
    </row>
    <row r="17" spans="2:34" ht="31.5" customHeight="1" x14ac:dyDescent="0.25">
      <c r="B17" s="593" t="s">
        <v>1946</v>
      </c>
      <c r="C17" s="234">
        <v>458.46800000000002</v>
      </c>
      <c r="D17" s="248">
        <v>520.58799999999997</v>
      </c>
      <c r="E17" s="248">
        <v>591.94899999999996</v>
      </c>
      <c r="F17" s="248">
        <v>615.77300000000002</v>
      </c>
      <c r="G17" s="248">
        <v>557.43200000000002</v>
      </c>
      <c r="H17" s="248">
        <v>550.59799999999996</v>
      </c>
      <c r="I17" s="248">
        <v>582.23299999999995</v>
      </c>
      <c r="J17" s="546">
        <v>619.15599999999995</v>
      </c>
      <c r="K17" s="248"/>
      <c r="O17" s="35"/>
      <c r="P17" s="35"/>
      <c r="Q17" s="35"/>
      <c r="R17" s="35"/>
      <c r="S17" s="35"/>
      <c r="T17" s="35"/>
      <c r="U17" s="35"/>
      <c r="V17" s="35"/>
      <c r="W17" s="35"/>
      <c r="X17" s="35"/>
      <c r="Y17" s="35"/>
      <c r="Z17" s="35"/>
      <c r="AA17" s="35"/>
      <c r="AB17" s="35"/>
      <c r="AC17" s="35"/>
      <c r="AD17" s="35"/>
      <c r="AE17" s="35"/>
      <c r="AF17" s="35"/>
      <c r="AG17" s="35"/>
      <c r="AH17" s="35"/>
    </row>
    <row r="18" spans="2:34" x14ac:dyDescent="0.25">
      <c r="B18" s="547" t="s">
        <v>433</v>
      </c>
      <c r="C18" s="555">
        <f>AVERAGE(H12:K12)</f>
        <v>0.71015252021972719</v>
      </c>
      <c r="D18" s="555">
        <f>AVERAGE(L12:O12)</f>
        <v>0.72173664041027075</v>
      </c>
      <c r="E18" s="555">
        <f>AVERAGE(P12:S12)</f>
        <v>0.74413095719151068</v>
      </c>
      <c r="F18" s="555">
        <f>AVERAGE(T12:W12)</f>
        <v>0.70746803808007741</v>
      </c>
      <c r="G18" s="555">
        <f>AVERAGE(X12:AA12)</f>
        <v>0.68014511113670384</v>
      </c>
      <c r="H18" s="555">
        <f>AVERAGE(Y12:AB12)</f>
        <v>0.67</v>
      </c>
      <c r="I18" s="555">
        <f>AVERAGE(Z12:AC12)</f>
        <v>0.67</v>
      </c>
      <c r="J18" s="577">
        <f>AVERAGE(AA12:AH12)</f>
        <v>0.67</v>
      </c>
    </row>
    <row r="19" spans="2:34" x14ac:dyDescent="0.25">
      <c r="B19" s="547" t="s">
        <v>434</v>
      </c>
      <c r="C19" s="216">
        <f>C17/C18</f>
        <v>645.59089342969048</v>
      </c>
      <c r="D19" s="216">
        <f>D17/D18</f>
        <v>721.29911501246772</v>
      </c>
      <c r="E19" s="216">
        <f>E17/E18</f>
        <v>795.49035593697931</v>
      </c>
      <c r="F19" s="216">
        <f>F17/F18</f>
        <v>870.38985064410986</v>
      </c>
      <c r="G19" s="216">
        <f>G17/G18</f>
        <v>819.57804426232292</v>
      </c>
      <c r="H19" s="216">
        <f t="shared" ref="H19:J19" si="10">H17/H18</f>
        <v>821.78805970149244</v>
      </c>
      <c r="I19" s="216">
        <f t="shared" si="10"/>
        <v>869.00447761194016</v>
      </c>
      <c r="J19" s="568">
        <f t="shared" si="10"/>
        <v>924.11343283582073</v>
      </c>
    </row>
    <row r="20" spans="2:34" ht="32.25" customHeight="1" x14ac:dyDescent="0.25">
      <c r="B20" s="521" t="s">
        <v>435</v>
      </c>
      <c r="C20" s="562"/>
      <c r="D20" s="578">
        <f>D19/C19-1</f>
        <v>0.11726965537041356</v>
      </c>
      <c r="E20" s="578">
        <f t="shared" ref="E20" si="11">E19/D19-1</f>
        <v>0.1028578011262764</v>
      </c>
      <c r="F20" s="578">
        <f>F19/E19-1</f>
        <v>9.4155126015210033E-2</v>
      </c>
      <c r="G20" s="578">
        <f>G19/F19-1+0.02</f>
        <v>-3.8378215628531179E-2</v>
      </c>
      <c r="H20" s="578">
        <f>H19/G19-1+0.024</f>
        <v>2.669652835949108E-2</v>
      </c>
      <c r="I20" s="578">
        <f t="shared" ref="I20" si="12">I19/H19-1</f>
        <v>5.7455711789726749E-2</v>
      </c>
      <c r="J20" s="596">
        <f t="shared" ref="J20" si="13">J19/I19-1</f>
        <v>6.341619248651309E-2</v>
      </c>
      <c r="K20" s="580"/>
      <c r="L20" s="580"/>
      <c r="R20" s="35"/>
      <c r="S20" s="512"/>
      <c r="T20" s="512"/>
      <c r="U20" s="512"/>
    </row>
    <row r="21" spans="2:34" ht="32.25" customHeight="1" x14ac:dyDescent="0.25">
      <c r="B21" s="265"/>
      <c r="C21" s="216"/>
      <c r="D21" s="555"/>
      <c r="E21" s="555"/>
      <c r="F21" s="555"/>
      <c r="G21" s="555"/>
      <c r="H21" s="555"/>
      <c r="I21" s="555"/>
      <c r="J21" s="555"/>
      <c r="K21" s="580"/>
      <c r="L21" s="580"/>
      <c r="R21" s="35"/>
      <c r="S21" s="512"/>
      <c r="T21" s="512"/>
      <c r="U21" s="512"/>
    </row>
    <row r="23" spans="2:34" x14ac:dyDescent="0.25">
      <c r="B23" s="509" t="s">
        <v>365</v>
      </c>
    </row>
    <row r="24" spans="2:34" x14ac:dyDescent="0.25">
      <c r="B24" s="1362" t="s">
        <v>436</v>
      </c>
      <c r="C24" s="1411"/>
      <c r="D24" s="1366" t="s">
        <v>280</v>
      </c>
      <c r="E24" s="1379"/>
      <c r="F24" s="1379"/>
      <c r="G24" s="1379"/>
      <c r="H24" s="1379"/>
      <c r="I24" s="1379"/>
      <c r="J24" s="1379"/>
      <c r="K24" s="1379"/>
      <c r="L24" s="1379"/>
      <c r="M24" s="1379"/>
      <c r="N24" s="1379"/>
      <c r="O24" s="1379"/>
      <c r="P24" s="1379"/>
      <c r="Q24" s="1379"/>
      <c r="R24" s="1379"/>
      <c r="S24" s="1379"/>
      <c r="T24" s="1379"/>
      <c r="U24" s="1379"/>
      <c r="V24" s="1367"/>
      <c r="W24" s="1392" t="s">
        <v>281</v>
      </c>
      <c r="X24" s="1393"/>
      <c r="Y24" s="1393"/>
      <c r="Z24" s="1393"/>
      <c r="AA24" s="1393"/>
      <c r="AB24" s="1393"/>
      <c r="AC24" s="1393"/>
      <c r="AD24" s="1393"/>
      <c r="AE24" s="1393"/>
      <c r="AF24" s="1393"/>
      <c r="AG24" s="1393"/>
    </row>
    <row r="25" spans="2:34" x14ac:dyDescent="0.25">
      <c r="B25" s="1364"/>
      <c r="C25" s="1380"/>
      <c r="D25" s="200">
        <v>2018</v>
      </c>
      <c r="E25" s="1371">
        <v>2019</v>
      </c>
      <c r="F25" s="1372"/>
      <c r="G25" s="1372"/>
      <c r="H25" s="1373"/>
      <c r="I25" s="1371">
        <v>2020</v>
      </c>
      <c r="J25" s="1372"/>
      <c r="K25" s="1372"/>
      <c r="L25" s="1372"/>
      <c r="M25" s="1371">
        <v>2021</v>
      </c>
      <c r="N25" s="1372"/>
      <c r="O25" s="1372"/>
      <c r="P25" s="1372"/>
      <c r="Q25" s="1371">
        <v>2022</v>
      </c>
      <c r="R25" s="1403"/>
      <c r="S25" s="1403"/>
      <c r="T25" s="1373"/>
      <c r="U25" s="221"/>
      <c r="V25" s="556">
        <v>2023</v>
      </c>
      <c r="W25" s="552"/>
      <c r="X25" s="242"/>
      <c r="Y25" s="1368">
        <v>2024</v>
      </c>
      <c r="Z25" s="1381"/>
      <c r="AA25" s="1381"/>
      <c r="AB25" s="1370"/>
      <c r="AC25" s="1368">
        <v>2025</v>
      </c>
      <c r="AD25" s="1381"/>
      <c r="AE25" s="1381"/>
      <c r="AF25" s="1370"/>
      <c r="AG25" s="498">
        <v>2026</v>
      </c>
    </row>
    <row r="26" spans="2:34" x14ac:dyDescent="0.25">
      <c r="B26" s="1366"/>
      <c r="C26" s="1379"/>
      <c r="D26" s="195" t="s">
        <v>282</v>
      </c>
      <c r="E26" s="195" t="s">
        <v>283</v>
      </c>
      <c r="F26" s="196" t="s">
        <v>284</v>
      </c>
      <c r="G26" s="196" t="s">
        <v>238</v>
      </c>
      <c r="H26" s="197" t="s">
        <v>282</v>
      </c>
      <c r="I26" s="196" t="s">
        <v>283</v>
      </c>
      <c r="J26" s="196" t="s">
        <v>284</v>
      </c>
      <c r="K26" s="196" t="s">
        <v>238</v>
      </c>
      <c r="L26" s="196" t="s">
        <v>282</v>
      </c>
      <c r="M26" s="195" t="s">
        <v>283</v>
      </c>
      <c r="N26" s="196" t="s">
        <v>284</v>
      </c>
      <c r="O26" s="196" t="s">
        <v>238</v>
      </c>
      <c r="P26" s="196" t="s">
        <v>282</v>
      </c>
      <c r="Q26" s="195" t="s">
        <v>283</v>
      </c>
      <c r="R26" s="196" t="s">
        <v>284</v>
      </c>
      <c r="S26" s="196" t="s">
        <v>238</v>
      </c>
      <c r="T26" s="197" t="s">
        <v>282</v>
      </c>
      <c r="U26" s="267" t="s">
        <v>283</v>
      </c>
      <c r="V26" s="557" t="s">
        <v>284</v>
      </c>
      <c r="W26" s="252" t="s">
        <v>238</v>
      </c>
      <c r="X26" s="252" t="s">
        <v>282</v>
      </c>
      <c r="Y26" s="251" t="s">
        <v>283</v>
      </c>
      <c r="Z26" s="249" t="s">
        <v>284</v>
      </c>
      <c r="AA26" s="252" t="s">
        <v>238</v>
      </c>
      <c r="AB26" s="252" t="s">
        <v>282</v>
      </c>
      <c r="AC26" s="251" t="s">
        <v>283</v>
      </c>
      <c r="AD26" s="249" t="s">
        <v>284</v>
      </c>
      <c r="AE26" s="252" t="s">
        <v>238</v>
      </c>
      <c r="AF26" s="252" t="s">
        <v>282</v>
      </c>
      <c r="AG26" s="251" t="s">
        <v>283</v>
      </c>
    </row>
    <row r="27" spans="2:34" ht="19.5" customHeight="1" x14ac:dyDescent="0.25">
      <c r="B27" s="588" t="s">
        <v>437</v>
      </c>
      <c r="C27" s="589"/>
      <c r="D27" s="574">
        <f>D10</f>
        <v>589.5</v>
      </c>
      <c r="E27" s="575">
        <f>E10</f>
        <v>598.70000000000005</v>
      </c>
      <c r="F27" s="575">
        <f>F10</f>
        <v>614.4</v>
      </c>
      <c r="G27" s="575">
        <f>G10</f>
        <v>622.4</v>
      </c>
      <c r="H27" s="575">
        <f>H10</f>
        <v>620.6</v>
      </c>
      <c r="I27" s="575">
        <f>I10</f>
        <v>606.4</v>
      </c>
      <c r="J27" s="575">
        <f>J10</f>
        <v>654.6</v>
      </c>
      <c r="K27" s="575">
        <f>K10</f>
        <v>690.8</v>
      </c>
      <c r="L27" s="575">
        <f>L10</f>
        <v>678.6</v>
      </c>
      <c r="M27" s="575">
        <f>M10</f>
        <v>705</v>
      </c>
      <c r="N27" s="575">
        <f>N10</f>
        <v>745.7</v>
      </c>
      <c r="O27" s="575">
        <f>O10</f>
        <v>749.2</v>
      </c>
      <c r="P27" s="575">
        <f>P10</f>
        <v>746.1</v>
      </c>
      <c r="Q27" s="575">
        <f>Q10</f>
        <v>791.4</v>
      </c>
      <c r="R27" s="575">
        <f>R10</f>
        <v>818.7</v>
      </c>
      <c r="S27" s="576">
        <f>S10</f>
        <v>819</v>
      </c>
      <c r="T27" s="560">
        <f>T10</f>
        <v>828.4</v>
      </c>
      <c r="U27" s="576">
        <f>U10</f>
        <v>871.5</v>
      </c>
      <c r="V27" s="576">
        <f>V10</f>
        <v>911.4</v>
      </c>
      <c r="W27" s="576">
        <f>W10</f>
        <v>880.6</v>
      </c>
      <c r="X27" s="576">
        <f>X10</f>
        <v>868.3</v>
      </c>
      <c r="Y27" s="587">
        <f>X27*(1+$G$20)^0.25+Y28</f>
        <v>905.84639409421584</v>
      </c>
      <c r="Z27" s="587">
        <f>Y27*(1+$G$20)^0.25+Z28</f>
        <v>897.02724353928306</v>
      </c>
      <c r="AA27" s="587">
        <f t="shared" ref="AA27" si="14">Z27*(1+$G$20)^0.25+AA28</f>
        <v>888.29395457966893</v>
      </c>
      <c r="AB27" s="566">
        <f>AA27*(1+$H$20)^0.25</f>
        <v>894.16410112633832</v>
      </c>
      <c r="AC27" s="558">
        <f>AB27*(1+$H$20)^0.25</f>
        <v>900.07303958451598</v>
      </c>
      <c r="AD27" s="558">
        <f t="shared" ref="AD27:AE27" si="15">AC27*(1+$H$20)^0.25</f>
        <v>906.02102630425838</v>
      </c>
      <c r="AE27" s="558">
        <f t="shared" si="15"/>
        <v>912.00831932966969</v>
      </c>
      <c r="AF27" s="549">
        <f>AE27*(1+$I$20)^0.25</f>
        <v>924.83519109058875</v>
      </c>
      <c r="AG27" s="558">
        <f>AF27*(1+$I$20)^0.25</f>
        <v>937.84246541547998</v>
      </c>
      <c r="AH27" s="567" t="s">
        <v>1844</v>
      </c>
    </row>
    <row r="28" spans="2:34" ht="19.5" customHeight="1" x14ac:dyDescent="0.25">
      <c r="B28" s="579" t="s">
        <v>1709</v>
      </c>
      <c r="C28" s="245"/>
      <c r="D28" s="590"/>
      <c r="E28" s="548"/>
      <c r="F28" s="548"/>
      <c r="G28" s="548"/>
      <c r="H28" s="548"/>
      <c r="I28" s="548"/>
      <c r="J28" s="548"/>
      <c r="K28" s="548"/>
      <c r="L28" s="548"/>
      <c r="M28" s="548"/>
      <c r="N28" s="548"/>
      <c r="O28" s="548"/>
      <c r="P28" s="548"/>
      <c r="Q28" s="548"/>
      <c r="R28" s="548"/>
      <c r="S28" s="548"/>
      <c r="T28" s="548"/>
      <c r="U28" s="548"/>
      <c r="V28" s="548"/>
      <c r="W28" s="548"/>
      <c r="X28" s="548">
        <v>-11</v>
      </c>
      <c r="Y28" s="553">
        <v>46</v>
      </c>
      <c r="Z28" s="553"/>
      <c r="AA28" s="553"/>
      <c r="AB28" s="553"/>
      <c r="AC28" s="553"/>
      <c r="AD28" s="553"/>
      <c r="AE28" s="553"/>
      <c r="AF28" s="553"/>
      <c r="AG28" s="553"/>
    </row>
    <row r="29" spans="2:34" ht="19.350000000000001" customHeight="1" x14ac:dyDescent="0.25">
      <c r="B29" s="579" t="s">
        <v>207</v>
      </c>
      <c r="C29" s="245"/>
      <c r="D29" s="590">
        <f>D10*D12</f>
        <v>391.92099999999999</v>
      </c>
      <c r="E29" s="548">
        <f>E10*E12</f>
        <v>406.23</v>
      </c>
      <c r="F29" s="548">
        <f>F10*F12</f>
        <v>414.87200000000001</v>
      </c>
      <c r="G29" s="548">
        <f>G10*G12</f>
        <v>418.36200000000002</v>
      </c>
      <c r="H29" s="548">
        <f>H10*H12</f>
        <v>414.971</v>
      </c>
      <c r="I29" s="548">
        <f>I10*I12</f>
        <v>424.089</v>
      </c>
      <c r="J29" s="548">
        <f>J10*J12</f>
        <v>505.45</v>
      </c>
      <c r="K29" s="548">
        <f>K10*K12</f>
        <v>483.86600000000004</v>
      </c>
      <c r="L29" s="548">
        <f>L10*L12</f>
        <v>506.75599999999997</v>
      </c>
      <c r="M29" s="548">
        <f>M10*M12</f>
        <v>501.459</v>
      </c>
      <c r="N29" s="548">
        <f>N10*N12</f>
        <v>526.38599999999997</v>
      </c>
      <c r="O29" s="548">
        <f>O10*O12</f>
        <v>541.66800000000001</v>
      </c>
      <c r="P29" s="548">
        <f>P10*P12</f>
        <v>563.64300000000003</v>
      </c>
      <c r="Q29" s="548">
        <f>Q10*Q12</f>
        <v>594.56200000000001</v>
      </c>
      <c r="R29" s="548">
        <f>R27*R12</f>
        <v>595.59299999999996</v>
      </c>
      <c r="S29" s="548">
        <f>S27*S12</f>
        <v>607.94899999999996</v>
      </c>
      <c r="T29" s="548">
        <f>T27*T12</f>
        <v>607.13699999999994</v>
      </c>
      <c r="U29" s="548">
        <f>U27*U12</f>
        <v>630.96299999999997</v>
      </c>
      <c r="V29" s="548">
        <f>V27*V12</f>
        <v>639.71100000000001</v>
      </c>
      <c r="W29" s="548">
        <f>W27*W12</f>
        <v>590.947</v>
      </c>
      <c r="X29" s="548">
        <f>X27*X12</f>
        <v>616.99699999999996</v>
      </c>
      <c r="Y29" s="553">
        <f>Y27*Y12</f>
        <v>606.91708404312465</v>
      </c>
      <c r="Z29" s="553">
        <f>Z27*Z12</f>
        <v>601.00825317131967</v>
      </c>
      <c r="AA29" s="553">
        <f>AA27*AA12</f>
        <v>595.1569495683782</v>
      </c>
      <c r="AB29" s="553">
        <f>AB27*AB12</f>
        <v>599.08994775464669</v>
      </c>
      <c r="AC29" s="553">
        <f>AC27*AC12</f>
        <v>603.04893652162571</v>
      </c>
      <c r="AD29" s="553">
        <f>AD27*AD12</f>
        <v>607.03408762385311</v>
      </c>
      <c r="AE29" s="553">
        <f>AE27*AE12</f>
        <v>611.04557395087875</v>
      </c>
      <c r="AF29" s="553">
        <f>AF27*AF12</f>
        <v>619.63957803069445</v>
      </c>
      <c r="AG29" s="553">
        <f>AG27*AG12</f>
        <v>628.35445182837157</v>
      </c>
    </row>
    <row r="30" spans="2:34" ht="19.350000000000001" customHeight="1" x14ac:dyDescent="0.25">
      <c r="B30" s="344" t="s">
        <v>438</v>
      </c>
      <c r="C30" s="345"/>
      <c r="D30" s="592">
        <f t="shared" ref="D30:G30" si="16">D27-D29</f>
        <v>197.57900000000001</v>
      </c>
      <c r="E30" s="550">
        <f t="shared" si="16"/>
        <v>192.47000000000003</v>
      </c>
      <c r="F30" s="550">
        <f t="shared" si="16"/>
        <v>199.52799999999996</v>
      </c>
      <c r="G30" s="550">
        <f t="shared" si="16"/>
        <v>204.03799999999995</v>
      </c>
      <c r="H30" s="550">
        <f t="shared" ref="H30:AC30" si="17">H27-H29</f>
        <v>205.62900000000002</v>
      </c>
      <c r="I30" s="550">
        <f t="shared" si="17"/>
        <v>182.31099999999998</v>
      </c>
      <c r="J30" s="550">
        <f t="shared" si="17"/>
        <v>149.15000000000003</v>
      </c>
      <c r="K30" s="550">
        <f t="shared" si="17"/>
        <v>206.93399999999991</v>
      </c>
      <c r="L30" s="550">
        <f t="shared" si="17"/>
        <v>171.84400000000005</v>
      </c>
      <c r="M30" s="550">
        <f t="shared" si="17"/>
        <v>203.541</v>
      </c>
      <c r="N30" s="550">
        <f t="shared" si="17"/>
        <v>219.31400000000008</v>
      </c>
      <c r="O30" s="550">
        <f>O27-O29</f>
        <v>207.53200000000004</v>
      </c>
      <c r="P30" s="550">
        <f>P27-P29</f>
        <v>182.45699999999999</v>
      </c>
      <c r="Q30" s="550">
        <f t="shared" si="17"/>
        <v>196.83799999999997</v>
      </c>
      <c r="R30" s="550">
        <f t="shared" si="17"/>
        <v>223.10700000000008</v>
      </c>
      <c r="S30" s="550">
        <f t="shared" si="17"/>
        <v>211.05100000000004</v>
      </c>
      <c r="T30" s="550">
        <f t="shared" si="17"/>
        <v>221.26300000000003</v>
      </c>
      <c r="U30" s="550">
        <f t="shared" si="17"/>
        <v>240.53700000000003</v>
      </c>
      <c r="V30" s="550">
        <f t="shared" si="17"/>
        <v>271.68899999999996</v>
      </c>
      <c r="W30" s="550">
        <f t="shared" si="17"/>
        <v>289.65300000000002</v>
      </c>
      <c r="X30" s="550">
        <f t="shared" si="17"/>
        <v>251.303</v>
      </c>
      <c r="Y30" s="586">
        <f t="shared" si="17"/>
        <v>298.92931005109119</v>
      </c>
      <c r="Z30" s="586">
        <f t="shared" si="17"/>
        <v>296.0189903679634</v>
      </c>
      <c r="AA30" s="586">
        <f t="shared" si="17"/>
        <v>293.13700501129074</v>
      </c>
      <c r="AB30" s="586">
        <f t="shared" si="17"/>
        <v>295.07415337169164</v>
      </c>
      <c r="AC30" s="586">
        <f t="shared" si="17"/>
        <v>297.02410306289028</v>
      </c>
      <c r="AD30" s="586">
        <f t="shared" ref="AD30:AG30" si="18">AD27-AD29</f>
        <v>298.98693868040527</v>
      </c>
      <c r="AE30" s="586">
        <f t="shared" si="18"/>
        <v>300.96274537879094</v>
      </c>
      <c r="AF30" s="586">
        <f t="shared" si="18"/>
        <v>305.1956130598943</v>
      </c>
      <c r="AG30" s="586">
        <f t="shared" si="18"/>
        <v>309.48801358710841</v>
      </c>
    </row>
    <row r="31" spans="2:34" ht="19.350000000000001" customHeight="1" x14ac:dyDescent="0.25">
      <c r="B31" s="222"/>
      <c r="C31" s="222"/>
      <c r="D31" s="551"/>
      <c r="E31" s="551"/>
      <c r="F31" s="551"/>
      <c r="G31" s="551"/>
      <c r="H31" s="551"/>
      <c r="I31" s="551"/>
      <c r="J31" s="551"/>
      <c r="K31" s="551"/>
      <c r="L31" s="551"/>
      <c r="M31" s="551"/>
      <c r="N31" s="551"/>
      <c r="O31" s="551"/>
      <c r="P31" s="551"/>
      <c r="Q31" s="551"/>
      <c r="R31" s="551"/>
      <c r="S31" s="551"/>
      <c r="T31" s="551"/>
      <c r="U31" s="576">
        <v>871.5</v>
      </c>
      <c r="V31" s="576">
        <v>911.4</v>
      </c>
      <c r="W31" s="576">
        <v>880.6</v>
      </c>
      <c r="X31" s="549">
        <v>853.54752299770257</v>
      </c>
      <c r="Y31" s="551"/>
      <c r="Z31" s="551"/>
      <c r="AA31" s="551"/>
      <c r="AB31" s="551"/>
      <c r="AC31" s="551"/>
      <c r="AD31" s="551"/>
      <c r="AE31" s="551"/>
      <c r="AF31" s="551"/>
      <c r="AG31" s="551"/>
    </row>
    <row r="32" spans="2:34" ht="19.350000000000001" customHeight="1" x14ac:dyDescent="0.25">
      <c r="B32" s="222"/>
      <c r="C32" s="222"/>
      <c r="D32" s="551"/>
      <c r="E32" s="551"/>
      <c r="F32" s="551"/>
      <c r="G32" s="551"/>
      <c r="H32" s="551"/>
      <c r="I32" s="551"/>
      <c r="J32" s="551"/>
      <c r="K32" s="551"/>
      <c r="L32" s="551"/>
      <c r="M32" s="551"/>
      <c r="N32" s="551"/>
      <c r="O32" s="551"/>
      <c r="U32" s="598"/>
      <c r="V32" s="548"/>
      <c r="W32" s="548"/>
      <c r="X32" s="553">
        <v>-11</v>
      </c>
      <c r="AG32" s="551"/>
    </row>
    <row r="33" spans="2:33" ht="19.350000000000001" customHeight="1" x14ac:dyDescent="0.25">
      <c r="B33" s="222"/>
      <c r="C33" s="222"/>
      <c r="D33" s="551"/>
      <c r="E33" s="551"/>
      <c r="F33" s="551"/>
      <c r="G33" s="551"/>
      <c r="H33" s="551"/>
      <c r="I33" s="551"/>
      <c r="J33" s="551"/>
      <c r="K33" s="551"/>
      <c r="L33" s="551"/>
      <c r="M33" s="551"/>
      <c r="N33" s="551"/>
      <c r="O33" s="551"/>
      <c r="U33" s="548">
        <v>630.96299999999997</v>
      </c>
      <c r="V33" s="548">
        <v>639.71100000000001</v>
      </c>
      <c r="W33" s="548">
        <v>590.947</v>
      </c>
      <c r="X33" s="553">
        <v>588.9477908684147</v>
      </c>
      <c r="AG33" s="551"/>
    </row>
    <row r="34" spans="2:33" ht="19.350000000000001" customHeight="1" x14ac:dyDescent="0.25">
      <c r="B34" s="222"/>
      <c r="C34" s="222"/>
      <c r="D34" s="551"/>
      <c r="E34" s="551"/>
      <c r="F34" s="551"/>
      <c r="G34" s="551"/>
      <c r="H34" s="551"/>
      <c r="I34" s="551"/>
      <c r="J34" s="551"/>
      <c r="K34" s="551"/>
      <c r="L34" s="551"/>
      <c r="M34" s="551"/>
      <c r="N34" s="551"/>
      <c r="O34" s="551"/>
      <c r="P34" s="551"/>
      <c r="Q34" s="551"/>
      <c r="R34" s="551"/>
      <c r="S34" s="551"/>
      <c r="T34" s="551"/>
      <c r="U34" s="550">
        <v>240.53700000000003</v>
      </c>
      <c r="V34" s="550">
        <v>271.68899999999996</v>
      </c>
      <c r="W34" s="550">
        <v>289.65300000000002</v>
      </c>
      <c r="X34" s="586">
        <v>264.59973212928787</v>
      </c>
      <c r="Y34" s="551"/>
      <c r="Z34" s="551"/>
      <c r="AA34" s="551"/>
      <c r="AB34" s="551"/>
      <c r="AC34" s="551"/>
      <c r="AD34" s="551"/>
      <c r="AE34" s="551"/>
      <c r="AF34" s="551"/>
      <c r="AG34" s="551"/>
    </row>
    <row r="35" spans="2:33" ht="14.85" customHeight="1" x14ac:dyDescent="0.25">
      <c r="B35" s="581" t="s">
        <v>439</v>
      </c>
      <c r="C35" s="582"/>
      <c r="D35" s="582"/>
      <c r="E35" s="583"/>
      <c r="F35" s="584">
        <v>2021</v>
      </c>
      <c r="G35" s="584">
        <v>2022</v>
      </c>
      <c r="H35" s="584">
        <v>2023</v>
      </c>
      <c r="I35" s="584">
        <v>2024</v>
      </c>
      <c r="J35" s="584">
        <v>2025</v>
      </c>
      <c r="K35" s="584">
        <v>2025</v>
      </c>
      <c r="L35" s="584">
        <v>2027</v>
      </c>
      <c r="M35" s="584">
        <v>2028</v>
      </c>
      <c r="N35" s="584">
        <v>2029</v>
      </c>
      <c r="O35" s="584">
        <v>2030</v>
      </c>
      <c r="P35" s="585">
        <v>2031</v>
      </c>
    </row>
    <row r="36" spans="2:33" ht="15" customHeight="1" x14ac:dyDescent="0.25">
      <c r="B36" s="1436" t="s">
        <v>440</v>
      </c>
      <c r="C36" s="1437"/>
      <c r="D36" s="1437"/>
      <c r="E36" s="1438"/>
      <c r="F36" s="216">
        <v>287</v>
      </c>
      <c r="G36" s="216">
        <v>534</v>
      </c>
      <c r="H36" s="216">
        <v>247</v>
      </c>
      <c r="I36" s="216">
        <v>63</v>
      </c>
      <c r="J36" s="216"/>
      <c r="K36" s="216"/>
      <c r="L36" s="216"/>
      <c r="M36" s="216"/>
      <c r="N36" s="216"/>
      <c r="O36" s="216"/>
      <c r="P36" s="568"/>
    </row>
    <row r="37" spans="2:33" ht="15" customHeight="1" x14ac:dyDescent="0.25">
      <c r="B37" s="1430" t="s">
        <v>441</v>
      </c>
      <c r="C37" s="1431"/>
      <c r="D37" s="1431"/>
      <c r="E37" s="1432"/>
      <c r="F37" s="216">
        <v>0</v>
      </c>
      <c r="G37" s="216">
        <v>0</v>
      </c>
      <c r="H37" s="216">
        <v>756</v>
      </c>
      <c r="I37" s="216">
        <v>1249</v>
      </c>
      <c r="J37" s="216">
        <v>1417</v>
      </c>
      <c r="K37" s="216">
        <v>1522</v>
      </c>
      <c r="L37" s="216">
        <v>1107</v>
      </c>
      <c r="M37" s="216"/>
      <c r="N37" s="216"/>
      <c r="O37" s="216"/>
      <c r="P37" s="568"/>
    </row>
    <row r="38" spans="2:33" x14ac:dyDescent="0.25">
      <c r="B38" s="1430" t="s">
        <v>442</v>
      </c>
      <c r="C38" s="1431"/>
      <c r="D38" s="1431"/>
      <c r="E38" s="1432"/>
      <c r="F38" s="216">
        <v>0</v>
      </c>
      <c r="G38" s="216">
        <v>5</v>
      </c>
      <c r="H38" s="216">
        <v>77</v>
      </c>
      <c r="I38" s="216">
        <v>307</v>
      </c>
      <c r="J38" s="216">
        <v>332</v>
      </c>
      <c r="K38" s="216">
        <v>270</v>
      </c>
      <c r="L38" s="216">
        <v>25</v>
      </c>
      <c r="M38" s="216">
        <v>32</v>
      </c>
      <c r="N38" s="216">
        <v>40</v>
      </c>
      <c r="O38" s="216">
        <v>49</v>
      </c>
      <c r="P38" s="568">
        <v>58</v>
      </c>
    </row>
    <row r="39" spans="2:33" ht="32.85" customHeight="1" x14ac:dyDescent="0.25">
      <c r="B39" s="1433" t="s">
        <v>443</v>
      </c>
      <c r="C39" s="1434"/>
      <c r="D39" s="1434"/>
      <c r="E39" s="1435"/>
      <c r="F39" s="216">
        <v>0</v>
      </c>
      <c r="G39" s="216">
        <v>0</v>
      </c>
      <c r="H39" s="216">
        <v>3768</v>
      </c>
      <c r="I39" s="216">
        <v>3428</v>
      </c>
      <c r="J39" s="216">
        <v>2176</v>
      </c>
      <c r="K39" s="216">
        <v>2304</v>
      </c>
      <c r="L39" s="216">
        <v>2129</v>
      </c>
      <c r="M39" s="216">
        <v>1335</v>
      </c>
      <c r="N39" s="216">
        <v>478</v>
      </c>
      <c r="O39" s="216">
        <v>531</v>
      </c>
      <c r="P39" s="568">
        <v>212</v>
      </c>
    </row>
    <row r="40" spans="2:33" ht="32.85" customHeight="1" x14ac:dyDescent="0.25">
      <c r="B40" s="1433" t="s">
        <v>444</v>
      </c>
      <c r="C40" s="1434"/>
      <c r="D40" s="1434"/>
      <c r="E40" s="1435"/>
      <c r="F40" s="216">
        <v>38</v>
      </c>
      <c r="G40" s="216">
        <v>81</v>
      </c>
      <c r="H40" s="216">
        <v>43</v>
      </c>
      <c r="I40" s="216"/>
      <c r="J40" s="216"/>
      <c r="K40" s="216"/>
      <c r="L40" s="216"/>
      <c r="M40" s="216"/>
      <c r="N40" s="216"/>
      <c r="O40" s="216"/>
      <c r="P40" s="568"/>
    </row>
    <row r="41" spans="2:33" x14ac:dyDescent="0.25">
      <c r="B41" s="1430" t="s">
        <v>445</v>
      </c>
      <c r="C41" s="1431"/>
      <c r="D41" s="1431"/>
      <c r="E41" s="1432"/>
      <c r="F41" s="216"/>
      <c r="G41" s="216"/>
      <c r="H41" s="216"/>
      <c r="I41" s="216">
        <v>-184</v>
      </c>
      <c r="J41" s="216">
        <v>-1830</v>
      </c>
      <c r="K41" s="216">
        <v>-2406</v>
      </c>
      <c r="L41" s="216">
        <v>-2419</v>
      </c>
      <c r="M41" s="216">
        <v>-2467</v>
      </c>
      <c r="N41" s="216">
        <v>-2531</v>
      </c>
      <c r="O41" s="216">
        <v>-2667</v>
      </c>
      <c r="P41" s="568">
        <v>-2809</v>
      </c>
    </row>
    <row r="42" spans="2:33" ht="15.75" customHeight="1" x14ac:dyDescent="0.25">
      <c r="B42" s="1442" t="s">
        <v>446</v>
      </c>
      <c r="C42" s="1443"/>
      <c r="D42" s="1443"/>
      <c r="E42" s="1444"/>
      <c r="F42" s="216">
        <v>6524</v>
      </c>
      <c r="G42" s="216">
        <v>6143</v>
      </c>
      <c r="H42" s="216"/>
      <c r="I42" s="216"/>
      <c r="J42" s="216"/>
      <c r="K42" s="216"/>
      <c r="L42" s="216"/>
      <c r="M42" s="216"/>
      <c r="N42" s="216"/>
      <c r="O42" s="216"/>
      <c r="P42" s="568"/>
    </row>
    <row r="43" spans="2:33" x14ac:dyDescent="0.25">
      <c r="B43" s="1430" t="s">
        <v>447</v>
      </c>
      <c r="C43" s="1431"/>
      <c r="D43" s="1431"/>
      <c r="E43" s="1432"/>
      <c r="F43" s="216">
        <v>50</v>
      </c>
      <c r="G43" s="216">
        <v>175</v>
      </c>
      <c r="H43" s="216">
        <v>25</v>
      </c>
      <c r="I43" s="216"/>
      <c r="J43" s="216"/>
      <c r="K43" s="216"/>
      <c r="L43" s="216"/>
      <c r="M43" s="216"/>
      <c r="N43" s="216"/>
      <c r="O43" s="216"/>
      <c r="P43" s="568"/>
    </row>
    <row r="44" spans="2:33" x14ac:dyDescent="0.25">
      <c r="B44" s="1430" t="s">
        <v>448</v>
      </c>
      <c r="C44" s="1431"/>
      <c r="D44" s="1431"/>
      <c r="E44" s="1432"/>
      <c r="F44" s="216">
        <v>829</v>
      </c>
      <c r="G44" s="216">
        <v>844</v>
      </c>
      <c r="H44" s="216"/>
      <c r="I44" s="216"/>
      <c r="J44" s="216"/>
      <c r="K44" s="216"/>
      <c r="L44" s="216"/>
      <c r="M44" s="216"/>
      <c r="N44" s="216"/>
      <c r="O44" s="216"/>
      <c r="P44" s="568"/>
    </row>
    <row r="45" spans="2:33" x14ac:dyDescent="0.25">
      <c r="B45" s="1445" t="s">
        <v>449</v>
      </c>
      <c r="C45" s="1446"/>
      <c r="D45" s="1446"/>
      <c r="E45" s="1447"/>
      <c r="F45" s="216">
        <f t="shared" ref="F45:P45" si="19">SUM(F36:F44)</f>
        <v>7728</v>
      </c>
      <c r="G45" s="216">
        <f t="shared" si="19"/>
        <v>7782</v>
      </c>
      <c r="H45" s="216">
        <f t="shared" si="19"/>
        <v>4916</v>
      </c>
      <c r="I45" s="216">
        <f t="shared" si="19"/>
        <v>4863</v>
      </c>
      <c r="J45" s="216">
        <f t="shared" si="19"/>
        <v>2095</v>
      </c>
      <c r="K45" s="216">
        <f t="shared" si="19"/>
        <v>1690</v>
      </c>
      <c r="L45" s="216">
        <f t="shared" si="19"/>
        <v>842</v>
      </c>
      <c r="M45" s="216">
        <f t="shared" si="19"/>
        <v>-1100</v>
      </c>
      <c r="N45" s="216">
        <f t="shared" si="19"/>
        <v>-2013</v>
      </c>
      <c r="O45" s="216">
        <f t="shared" si="19"/>
        <v>-2087</v>
      </c>
      <c r="P45" s="568">
        <f t="shared" si="19"/>
        <v>-2539</v>
      </c>
    </row>
    <row r="46" spans="2:33" x14ac:dyDescent="0.25">
      <c r="B46" s="1442" t="s">
        <v>450</v>
      </c>
      <c r="C46" s="1443"/>
      <c r="D46" s="1443"/>
      <c r="E46" s="1444"/>
      <c r="F46" s="216">
        <f t="shared" ref="F46:P46" si="20">F42+F40+F39</f>
        <v>6562</v>
      </c>
      <c r="G46" s="216">
        <f t="shared" si="20"/>
        <v>6224</v>
      </c>
      <c r="H46" s="216">
        <f t="shared" si="20"/>
        <v>3811</v>
      </c>
      <c r="I46" s="216">
        <f t="shared" si="20"/>
        <v>3428</v>
      </c>
      <c r="J46" s="216">
        <f t="shared" si="20"/>
        <v>2176</v>
      </c>
      <c r="K46" s="216">
        <f t="shared" si="20"/>
        <v>2304</v>
      </c>
      <c r="L46" s="216">
        <f t="shared" si="20"/>
        <v>2129</v>
      </c>
      <c r="M46" s="216">
        <f t="shared" si="20"/>
        <v>1335</v>
      </c>
      <c r="N46" s="216">
        <f t="shared" si="20"/>
        <v>478</v>
      </c>
      <c r="O46" s="216">
        <f t="shared" si="20"/>
        <v>531</v>
      </c>
      <c r="P46" s="568">
        <f t="shared" si="20"/>
        <v>212</v>
      </c>
      <c r="Q46" s="222" t="s">
        <v>451</v>
      </c>
    </row>
    <row r="47" spans="2:33" x14ac:dyDescent="0.25">
      <c r="B47" s="1430" t="s">
        <v>452</v>
      </c>
      <c r="C47" s="1431"/>
      <c r="D47" s="1431"/>
      <c r="E47" s="1432"/>
      <c r="F47" s="216">
        <f>(F46/1000)/M27</f>
        <v>9.3078014184397161E-3</v>
      </c>
      <c r="G47" s="216">
        <f>(G46/F46)*F47</f>
        <v>8.8283687943262416E-3</v>
      </c>
      <c r="H47" s="216">
        <f>(H46/G46)*G47+H48</f>
        <v>5.4056737588652481E-3</v>
      </c>
      <c r="I47" s="216">
        <f>(I46/H46)*H47+I48</f>
        <v>4.8624113475177304E-3</v>
      </c>
      <c r="J47" s="216">
        <f>J48</f>
        <v>0</v>
      </c>
      <c r="K47" s="216">
        <f t="shared" ref="K47:L47" si="21">K48</f>
        <v>0</v>
      </c>
      <c r="L47" s="216">
        <f t="shared" si="21"/>
        <v>0</v>
      </c>
      <c r="M47" s="216"/>
      <c r="N47" s="216"/>
      <c r="O47" s="216"/>
      <c r="P47" s="568"/>
      <c r="Q47" s="222" t="s">
        <v>453</v>
      </c>
    </row>
    <row r="48" spans="2:33" ht="29.25" customHeight="1" x14ac:dyDescent="0.25">
      <c r="B48" s="542" t="s">
        <v>897</v>
      </c>
      <c r="C48" s="543"/>
      <c r="D48" s="543"/>
      <c r="E48" s="544"/>
      <c r="F48" s="216"/>
      <c r="G48" s="216"/>
      <c r="H48" s="216"/>
      <c r="I48" s="216"/>
      <c r="J48" s="216"/>
      <c r="K48" s="216"/>
      <c r="L48" s="216"/>
      <c r="M48" s="216"/>
      <c r="N48" s="216"/>
      <c r="O48" s="216"/>
      <c r="P48" s="568"/>
      <c r="Q48" s="222"/>
    </row>
    <row r="49" spans="2:16" x14ac:dyDescent="0.25">
      <c r="B49" s="1439"/>
      <c r="C49" s="1440"/>
      <c r="D49" s="1440"/>
      <c r="E49" s="1441"/>
      <c r="F49" s="562"/>
      <c r="G49" s="562"/>
      <c r="H49" s="562"/>
      <c r="I49" s="562"/>
      <c r="J49" s="562"/>
      <c r="K49" s="562"/>
      <c r="L49" s="562"/>
      <c r="M49" s="562"/>
      <c r="N49" s="562"/>
      <c r="O49" s="562"/>
      <c r="P49" s="569"/>
    </row>
  </sheetData>
  <mergeCells count="34">
    <mergeCell ref="B1:AC1"/>
    <mergeCell ref="V2:AB4"/>
    <mergeCell ref="B2:U4"/>
    <mergeCell ref="Y25:AB25"/>
    <mergeCell ref="Y8:AB8"/>
    <mergeCell ref="M25:P25"/>
    <mergeCell ref="M8:P8"/>
    <mergeCell ref="Q8:T8"/>
    <mergeCell ref="Q25:T25"/>
    <mergeCell ref="AC8:AF8"/>
    <mergeCell ref="W7:AG7"/>
    <mergeCell ref="AC25:AF25"/>
    <mergeCell ref="D7:V7"/>
    <mergeCell ref="W24:AG24"/>
    <mergeCell ref="D24:V24"/>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5:L25"/>
    <mergeCell ref="B24:C26"/>
    <mergeCell ref="E25:H25"/>
    <mergeCell ref="B37:E37"/>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topLeftCell="F1" zoomScale="90" zoomScaleNormal="90" workbookViewId="0">
      <selection activeCell="Z23" sqref="Z23"/>
    </sheetView>
  </sheetViews>
  <sheetFormatPr defaultColWidth="10.8554687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33" x14ac:dyDescent="0.25">
      <c r="B1" s="1357" t="s">
        <v>55</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3" ht="14.25" customHeight="1" x14ac:dyDescent="0.25">
      <c r="B2" s="1449" t="s">
        <v>863</v>
      </c>
      <c r="C2" s="1449"/>
      <c r="D2" s="1449"/>
      <c r="E2" s="1449"/>
      <c r="F2" s="1449"/>
      <c r="G2" s="1449"/>
      <c r="H2" s="1449"/>
      <c r="I2" s="1449"/>
      <c r="J2" s="1449"/>
      <c r="K2" s="1449"/>
      <c r="L2" s="1449"/>
      <c r="M2" s="1449"/>
      <c r="N2" s="1449"/>
      <c r="O2" s="1449"/>
      <c r="P2" s="1449"/>
      <c r="Q2" s="1449"/>
      <c r="R2" s="1449"/>
      <c r="S2" s="595"/>
      <c r="T2" s="1450" t="s">
        <v>916</v>
      </c>
      <c r="U2" s="1450"/>
      <c r="V2" s="1450"/>
      <c r="W2" s="1450"/>
      <c r="X2" s="1450"/>
      <c r="Y2" s="1450"/>
      <c r="Z2" s="1450"/>
      <c r="AA2" s="1450"/>
      <c r="AB2" s="1450"/>
      <c r="AC2" s="1450"/>
    </row>
    <row r="3" spans="2:33" x14ac:dyDescent="0.25">
      <c r="B3" s="1449"/>
      <c r="C3" s="1449"/>
      <c r="D3" s="1449"/>
      <c r="E3" s="1449"/>
      <c r="F3" s="1449"/>
      <c r="G3" s="1449"/>
      <c r="H3" s="1449"/>
      <c r="I3" s="1449"/>
      <c r="J3" s="1449"/>
      <c r="K3" s="1449"/>
      <c r="L3" s="1449"/>
      <c r="M3" s="1449"/>
      <c r="N3" s="1449"/>
      <c r="O3" s="1449"/>
      <c r="P3" s="1449"/>
      <c r="Q3" s="1449"/>
      <c r="R3" s="1449"/>
      <c r="S3" s="595"/>
      <c r="T3" s="1450"/>
      <c r="U3" s="1450"/>
      <c r="V3" s="1450"/>
      <c r="W3" s="1450"/>
      <c r="X3" s="1450"/>
      <c r="Y3" s="1450"/>
      <c r="Z3" s="1450"/>
      <c r="AA3" s="1450"/>
      <c r="AB3" s="1450"/>
      <c r="AC3" s="1450"/>
    </row>
    <row r="4" spans="2:33" ht="21" customHeight="1" x14ac:dyDescent="0.25">
      <c r="B4" s="1449"/>
      <c r="C4" s="1449"/>
      <c r="D4" s="1449"/>
      <c r="E4" s="1449"/>
      <c r="F4" s="1449"/>
      <c r="G4" s="1449"/>
      <c r="H4" s="1449"/>
      <c r="I4" s="1449"/>
      <c r="J4" s="1449"/>
      <c r="K4" s="1449"/>
      <c r="L4" s="1449"/>
      <c r="M4" s="1449"/>
      <c r="N4" s="1449"/>
      <c r="O4" s="1449"/>
      <c r="P4" s="1449"/>
      <c r="Q4" s="1449"/>
      <c r="R4" s="1449"/>
      <c r="S4" s="595"/>
      <c r="T4" s="1450"/>
      <c r="U4" s="1450"/>
      <c r="V4" s="1450"/>
      <c r="W4" s="1450"/>
      <c r="X4" s="1450"/>
      <c r="Y4" s="1450"/>
      <c r="Z4" s="1450"/>
      <c r="AA4" s="1450"/>
      <c r="AB4" s="1450"/>
      <c r="AC4" s="1450"/>
    </row>
    <row r="6" spans="2:33" x14ac:dyDescent="0.25">
      <c r="B6" s="509" t="s">
        <v>333</v>
      </c>
    </row>
    <row r="7" spans="2:33" ht="14.85" customHeight="1" x14ac:dyDescent="0.25">
      <c r="B7" s="1362" t="s">
        <v>404</v>
      </c>
      <c r="C7" s="1363"/>
      <c r="D7" s="1366" t="s">
        <v>280</v>
      </c>
      <c r="E7" s="1379"/>
      <c r="F7" s="1379"/>
      <c r="G7" s="1379"/>
      <c r="H7" s="1379"/>
      <c r="I7" s="1379"/>
      <c r="J7" s="1379"/>
      <c r="K7" s="1379"/>
      <c r="L7" s="1379"/>
      <c r="M7" s="1379"/>
      <c r="N7" s="1379"/>
      <c r="O7" s="1379"/>
      <c r="P7" s="1379"/>
      <c r="Q7" s="1379"/>
      <c r="R7" s="1379"/>
      <c r="S7" s="1379"/>
      <c r="T7" s="1379"/>
      <c r="U7" s="1380"/>
      <c r="V7" s="1365"/>
      <c r="W7" s="1390" t="s">
        <v>281</v>
      </c>
      <c r="X7" s="1391"/>
      <c r="Y7" s="1391"/>
      <c r="Z7" s="1391"/>
      <c r="AA7" s="1391"/>
      <c r="AB7" s="1391"/>
      <c r="AC7" s="1391"/>
      <c r="AD7" s="1391"/>
      <c r="AE7" s="1391"/>
      <c r="AF7" s="1391"/>
      <c r="AG7" s="1391"/>
    </row>
    <row r="8" spans="2:33" x14ac:dyDescent="0.25">
      <c r="B8" s="1364"/>
      <c r="C8" s="1365"/>
      <c r="D8" s="200">
        <v>2018</v>
      </c>
      <c r="E8" s="1371">
        <v>2019</v>
      </c>
      <c r="F8" s="1372"/>
      <c r="G8" s="1372"/>
      <c r="H8" s="1373"/>
      <c r="I8" s="1371">
        <v>2020</v>
      </c>
      <c r="J8" s="1372"/>
      <c r="K8" s="1372"/>
      <c r="L8" s="1372"/>
      <c r="M8" s="1371">
        <v>2021</v>
      </c>
      <c r="N8" s="1372"/>
      <c r="O8" s="1372"/>
      <c r="P8" s="1403"/>
      <c r="Q8" s="1371">
        <v>2022</v>
      </c>
      <c r="R8" s="1403"/>
      <c r="S8" s="1403"/>
      <c r="T8" s="1403"/>
      <c r="U8" s="221"/>
      <c r="V8" s="270">
        <v>2023</v>
      </c>
      <c r="W8" s="272"/>
      <c r="X8" s="242"/>
      <c r="Y8" s="1369">
        <v>2024</v>
      </c>
      <c r="Z8" s="1381"/>
      <c r="AA8" s="1381"/>
      <c r="AB8" s="1370"/>
      <c r="AC8" s="1368">
        <v>2025</v>
      </c>
      <c r="AD8" s="1381"/>
      <c r="AE8" s="1381"/>
      <c r="AF8" s="1370"/>
      <c r="AG8" s="498">
        <v>2026</v>
      </c>
    </row>
    <row r="9" spans="2:33" x14ac:dyDescent="0.25">
      <c r="B9" s="1366"/>
      <c r="C9" s="1367"/>
      <c r="D9" s="195" t="s">
        <v>282</v>
      </c>
      <c r="E9" s="195" t="s">
        <v>283</v>
      </c>
      <c r="F9" s="196" t="s">
        <v>284</v>
      </c>
      <c r="G9" s="196" t="s">
        <v>238</v>
      </c>
      <c r="H9" s="197" t="s">
        <v>282</v>
      </c>
      <c r="I9" s="196" t="s">
        <v>283</v>
      </c>
      <c r="J9" s="196" t="s">
        <v>284</v>
      </c>
      <c r="K9" s="196" t="s">
        <v>238</v>
      </c>
      <c r="L9" s="196" t="s">
        <v>282</v>
      </c>
      <c r="M9" s="195" t="s">
        <v>283</v>
      </c>
      <c r="N9" s="196" t="s">
        <v>284</v>
      </c>
      <c r="O9" s="196" t="s">
        <v>238</v>
      </c>
      <c r="P9" s="196" t="s">
        <v>282</v>
      </c>
      <c r="Q9" s="195" t="s">
        <v>283</v>
      </c>
      <c r="R9" s="196" t="s">
        <v>284</v>
      </c>
      <c r="S9" s="196" t="s">
        <v>238</v>
      </c>
      <c r="T9" s="196" t="s">
        <v>282</v>
      </c>
      <c r="U9" s="267" t="s">
        <v>283</v>
      </c>
      <c r="V9" s="268" t="s">
        <v>284</v>
      </c>
      <c r="W9" s="252" t="s">
        <v>238</v>
      </c>
      <c r="X9" s="253" t="s">
        <v>282</v>
      </c>
      <c r="Y9" s="252" t="s">
        <v>283</v>
      </c>
      <c r="Z9" s="249" t="s">
        <v>284</v>
      </c>
      <c r="AA9" s="252" t="s">
        <v>238</v>
      </c>
      <c r="AB9" s="252" t="s">
        <v>282</v>
      </c>
      <c r="AC9" s="251" t="s">
        <v>283</v>
      </c>
      <c r="AD9" s="249" t="s">
        <v>284</v>
      </c>
      <c r="AE9" s="252" t="s">
        <v>238</v>
      </c>
      <c r="AF9" s="252" t="s">
        <v>282</v>
      </c>
      <c r="AG9" s="251" t="s">
        <v>283</v>
      </c>
    </row>
    <row r="10" spans="2:33" ht="14.85" customHeight="1" x14ac:dyDescent="0.25">
      <c r="B10" s="604" t="s">
        <v>454</v>
      </c>
      <c r="C10" s="35" t="s">
        <v>912</v>
      </c>
      <c r="D10" s="574">
        <f>'Haver Pivoted'!GO12</f>
        <v>755</v>
      </c>
      <c r="E10" s="575">
        <f>'Haver Pivoted'!GP12</f>
        <v>771.9</v>
      </c>
      <c r="F10" s="575">
        <f>'Haver Pivoted'!GQ12</f>
        <v>785.3</v>
      </c>
      <c r="G10" s="575">
        <f>'Haver Pivoted'!GR12</f>
        <v>793.9</v>
      </c>
      <c r="H10" s="575">
        <f>'Haver Pivoted'!GS12</f>
        <v>797.9</v>
      </c>
      <c r="I10" s="575">
        <f>'Haver Pivoted'!GT12</f>
        <v>798.4</v>
      </c>
      <c r="J10" s="575">
        <f>'Haver Pivoted'!GU12</f>
        <v>811.1</v>
      </c>
      <c r="K10" s="575">
        <f>'Haver Pivoted'!GV12</f>
        <v>823.1</v>
      </c>
      <c r="L10" s="575">
        <f>'Haver Pivoted'!GW12</f>
        <v>834.5</v>
      </c>
      <c r="M10" s="575">
        <f>'Haver Pivoted'!GX12</f>
        <v>849.4</v>
      </c>
      <c r="N10" s="575">
        <f>'Haver Pivoted'!GY12</f>
        <v>865.6</v>
      </c>
      <c r="O10" s="575">
        <f>'Haver Pivoted'!GZ12</f>
        <v>882.6</v>
      </c>
      <c r="P10" s="575">
        <f>'Haver Pivoted'!HA12</f>
        <v>900.3</v>
      </c>
      <c r="Q10" s="575">
        <f>'Haver Pivoted'!HB12</f>
        <v>918.2</v>
      </c>
      <c r="R10" s="575">
        <f>'Haver Pivoted'!HC12</f>
        <v>924.7</v>
      </c>
      <c r="S10" s="576">
        <f>'Haver Pivoted'!HD12</f>
        <v>927.2</v>
      </c>
      <c r="T10" s="560">
        <f>'Haver Pivoted'!HE12</f>
        <v>934.2</v>
      </c>
      <c r="U10" s="598">
        <f>'Haver Pivoted'!HF12</f>
        <v>938.1</v>
      </c>
      <c r="V10" s="576">
        <f>'Haver Pivoted'!HG12</f>
        <v>941.9</v>
      </c>
      <c r="W10" s="576">
        <f>'Haver Pivoted'!HH12</f>
        <v>946.3</v>
      </c>
      <c r="X10" s="576">
        <f>'Haver Pivoted'!HI12</f>
        <v>951.3</v>
      </c>
      <c r="Y10" s="587">
        <f>X10*(1+Y13)+Y12</f>
        <v>960.04445976512864</v>
      </c>
      <c r="Z10" s="587">
        <f t="shared" ref="Z10:AG10" si="0">Y10*(1+Z13)+Z12</f>
        <v>982.29155475727316</v>
      </c>
      <c r="AA10" s="587">
        <f t="shared" si="0"/>
        <v>1005.0541813277266</v>
      </c>
      <c r="AB10" s="587">
        <f t="shared" si="0"/>
        <v>1020.2898522178465</v>
      </c>
      <c r="AC10" s="587">
        <f t="shared" si="0"/>
        <v>1035.7564814699977</v>
      </c>
      <c r="AD10" s="587">
        <f t="shared" si="0"/>
        <v>1051.4575701945266</v>
      </c>
      <c r="AE10" s="587">
        <f t="shared" si="0"/>
        <v>1067.3966725753019</v>
      </c>
      <c r="AF10" s="587">
        <f t="shared" si="0"/>
        <v>1083.5773966742581</v>
      </c>
      <c r="AG10" s="587">
        <f t="shared" si="0"/>
        <v>1100.0034052481369</v>
      </c>
    </row>
    <row r="11" spans="2:33" ht="28.5" customHeight="1" x14ac:dyDescent="0.25">
      <c r="B11" s="629" t="s">
        <v>914</v>
      </c>
      <c r="C11" s="619" t="s">
        <v>523</v>
      </c>
      <c r="D11" s="630"/>
      <c r="E11" s="616"/>
      <c r="F11" s="616"/>
      <c r="G11" s="616"/>
      <c r="H11" s="616"/>
      <c r="I11" s="616"/>
      <c r="J11" s="617">
        <f>'Haver Pivoted'!GU46</f>
        <v>9.6</v>
      </c>
      <c r="K11" s="617">
        <f>'Haver Pivoted'!GV46</f>
        <v>14.4</v>
      </c>
      <c r="L11" s="617">
        <f>'Haver Pivoted'!GW46</f>
        <v>14.3</v>
      </c>
      <c r="M11" s="617">
        <f>'Haver Pivoted'!GX46</f>
        <v>15</v>
      </c>
      <c r="N11" s="617">
        <f>'Haver Pivoted'!GY46</f>
        <v>15.3</v>
      </c>
      <c r="O11" s="617">
        <f>'Haver Pivoted'!GZ46</f>
        <v>15.6</v>
      </c>
      <c r="P11" s="617">
        <f>'Haver Pivoted'!HA46</f>
        <v>15.7</v>
      </c>
      <c r="Q11" s="617">
        <f>'Haver Pivoted'!HB46</f>
        <v>15.8</v>
      </c>
      <c r="R11" s="617">
        <f>'Haver Pivoted'!HC46</f>
        <v>7.9</v>
      </c>
      <c r="S11" s="540">
        <f>'Haver Pivoted'!HD46</f>
        <v>0</v>
      </c>
      <c r="T11" s="540">
        <f>'Haver Pivoted'!HE46</f>
        <v>0</v>
      </c>
      <c r="U11" s="540">
        <f>'Haver Pivoted'!HF46</f>
        <v>0</v>
      </c>
      <c r="V11" s="540">
        <f>'Haver Pivoted'!HG46</f>
        <v>0</v>
      </c>
      <c r="W11" s="540">
        <f>'Haver Pivoted'!HH46</f>
        <v>0</v>
      </c>
      <c r="X11" s="540">
        <f>'Haver Pivoted'!HI46</f>
        <v>0</v>
      </c>
      <c r="Y11" s="606">
        <f t="shared" ref="Y11:Z11" si="1">X11</f>
        <v>0</v>
      </c>
      <c r="Z11" s="606">
        <f t="shared" si="1"/>
        <v>0</v>
      </c>
      <c r="AA11" s="606"/>
      <c r="AB11" s="606"/>
      <c r="AC11" s="606"/>
      <c r="AD11" s="606"/>
      <c r="AE11" s="606"/>
      <c r="AF11" s="606"/>
      <c r="AG11" s="606"/>
    </row>
    <row r="12" spans="2:33" ht="28.5" customHeight="1" x14ac:dyDescent="0.25">
      <c r="B12" s="629" t="s">
        <v>1851</v>
      </c>
      <c r="C12" s="619"/>
      <c r="D12" s="630"/>
      <c r="E12" s="616"/>
      <c r="F12" s="616"/>
      <c r="G12" s="616"/>
      <c r="H12" s="616"/>
      <c r="I12" s="616"/>
      <c r="J12" s="617"/>
      <c r="K12" s="617"/>
      <c r="L12" s="617"/>
      <c r="M12" s="617"/>
      <c r="N12" s="617"/>
      <c r="O12" s="617"/>
      <c r="P12" s="617"/>
      <c r="Q12" s="617"/>
      <c r="R12" s="617"/>
      <c r="S12" s="540"/>
      <c r="T12" s="540"/>
      <c r="U12" s="540"/>
      <c r="V12" s="540"/>
      <c r="W12" s="389">
        <v>-7</v>
      </c>
      <c r="X12" s="606"/>
      <c r="Y12" s="606">
        <v>-13.3</v>
      </c>
      <c r="Z12" s="606"/>
      <c r="AA12" s="606"/>
      <c r="AB12" s="606"/>
      <c r="AC12" s="606"/>
      <c r="AD12" s="606"/>
      <c r="AE12" s="606"/>
      <c r="AF12" s="606"/>
      <c r="AG12" s="606"/>
    </row>
    <row r="13" spans="2:33" x14ac:dyDescent="0.25">
      <c r="B13" s="622" t="s">
        <v>455</v>
      </c>
      <c r="C13" s="621"/>
      <c r="D13" s="592"/>
      <c r="E13" s="550"/>
      <c r="F13" s="550"/>
      <c r="G13" s="550"/>
      <c r="H13" s="550"/>
      <c r="I13" s="550"/>
      <c r="J13" s="578"/>
      <c r="K13" s="578"/>
      <c r="L13" s="578"/>
      <c r="M13" s="578"/>
      <c r="N13" s="578">
        <f>(1 + $E$26)^0.25-1</f>
        <v>0</v>
      </c>
      <c r="O13" s="578">
        <f>(1 + $E$26)^0.25-1</f>
        <v>0</v>
      </c>
      <c r="P13" s="578">
        <f>(1 + $F$26)^0.25-1</f>
        <v>3.0584654007782985E-2</v>
      </c>
      <c r="Q13" s="578">
        <f>(1 +$F$26)^0.25-1</f>
        <v>3.0584654007782985E-2</v>
      </c>
      <c r="R13" s="578">
        <f>(1 +$F$26)^0.25-1</f>
        <v>3.0584654007782985E-2</v>
      </c>
      <c r="S13" s="618">
        <f>(1 +$F$26)^0.25-1</f>
        <v>3.0584654007782985E-2</v>
      </c>
      <c r="T13" s="618">
        <f>(1 +$G$26)^0.25-1</f>
        <v>1.0379651848812843E-2</v>
      </c>
      <c r="U13" s="618">
        <f>(1 +$G$26)^0.25-1</f>
        <v>1.0379651848812843E-2</v>
      </c>
      <c r="V13" s="618">
        <f>(1 +$G$26)^0.25-1</f>
        <v>1.0379651848812843E-2</v>
      </c>
      <c r="W13" s="578">
        <f>(1 +$G$26)^0.25-1</f>
        <v>1.0379651848812843E-2</v>
      </c>
      <c r="X13" s="607">
        <f>(1 +$H$26)^0.25-1</f>
        <v>2.3172984090327642E-2</v>
      </c>
      <c r="Y13" s="597">
        <f t="shared" ref="Y13:AA13" si="2">(1 +$H$26)^0.25-1</f>
        <v>2.3172984090327642E-2</v>
      </c>
      <c r="Z13" s="597">
        <f t="shared" si="2"/>
        <v>2.3172984090327642E-2</v>
      </c>
      <c r="AA13" s="597">
        <f t="shared" si="2"/>
        <v>2.3172984090327642E-2</v>
      </c>
      <c r="AB13" s="607">
        <f>(1 +$I$26)^0.25-1</f>
        <v>1.5159054281026707E-2</v>
      </c>
      <c r="AC13" s="597">
        <f>(1 +$I$26)^0.25-1</f>
        <v>1.5159054281026707E-2</v>
      </c>
      <c r="AD13" s="597">
        <f t="shared" ref="AD13:AG13" si="3">(1 +$I$26)^0.25-1</f>
        <v>1.5159054281026707E-2</v>
      </c>
      <c r="AE13" s="597">
        <f t="shared" si="3"/>
        <v>1.5159054281026707E-2</v>
      </c>
      <c r="AF13" s="597">
        <f t="shared" si="3"/>
        <v>1.5159054281026707E-2</v>
      </c>
      <c r="AG13" s="597">
        <f t="shared" si="3"/>
        <v>1.5159054281026707E-2</v>
      </c>
    </row>
    <row r="14" spans="2:33" ht="15.75" customHeight="1" x14ac:dyDescent="0.25">
      <c r="B14" s="620"/>
      <c r="C14" s="605"/>
      <c r="D14" s="551"/>
      <c r="E14" s="551"/>
      <c r="F14" s="551"/>
      <c r="G14" s="551"/>
      <c r="H14" s="551"/>
      <c r="I14" s="551"/>
      <c r="J14" s="555"/>
      <c r="K14" s="555"/>
      <c r="L14" s="555"/>
      <c r="M14" s="555"/>
    </row>
    <row r="15" spans="2:33" ht="15.75" customHeight="1" x14ac:dyDescent="0.25">
      <c r="B15" s="620"/>
      <c r="C15" s="605"/>
      <c r="D15" s="551"/>
      <c r="E15" s="551"/>
      <c r="F15" s="551"/>
      <c r="G15" s="551"/>
      <c r="H15" s="551"/>
      <c r="I15" s="551"/>
      <c r="J15" s="555"/>
      <c r="K15" s="555"/>
      <c r="L15" s="555"/>
      <c r="M15" s="555"/>
      <c r="Q15" s="604" t="s">
        <v>454</v>
      </c>
      <c r="S15" t="s">
        <v>1926</v>
      </c>
      <c r="U15" s="598">
        <v>960.5</v>
      </c>
      <c r="V15" s="576">
        <v>967.3</v>
      </c>
      <c r="W15" s="576">
        <v>967.3</v>
      </c>
      <c r="X15" s="576">
        <v>967.3</v>
      </c>
      <c r="Y15" s="558">
        <v>1017.514958943972</v>
      </c>
      <c r="Z15" s="558">
        <v>1042.0509983027189</v>
      </c>
      <c r="AA15" s="558">
        <v>1067.1786920859263</v>
      </c>
      <c r="AB15" s="558">
        <v>1096.5429134899039</v>
      </c>
      <c r="AC15" s="558">
        <v>1126.7151134499154</v>
      </c>
      <c r="AD15" s="558">
        <v>1157.7175241013895</v>
      </c>
      <c r="AE15" s="558">
        <v>1189.5729893136208</v>
      </c>
      <c r="AF15" s="558">
        <v>1222.3049815220859</v>
      </c>
      <c r="AG15" s="558">
        <v>1255.9376190239122</v>
      </c>
    </row>
    <row r="16" spans="2:33" ht="15.75" customHeight="1" x14ac:dyDescent="0.25">
      <c r="B16" s="620"/>
      <c r="C16" s="605"/>
      <c r="D16" s="551"/>
      <c r="E16" s="551"/>
      <c r="F16" s="551"/>
      <c r="G16" s="551"/>
      <c r="H16" s="551"/>
      <c r="I16" s="551"/>
      <c r="J16" s="555"/>
      <c r="K16" s="555"/>
      <c r="L16" s="555"/>
      <c r="M16" s="555"/>
    </row>
    <row r="17" spans="2:32" x14ac:dyDescent="0.25">
      <c r="B17" s="620"/>
      <c r="C17" s="605"/>
      <c r="D17" s="551"/>
      <c r="E17" s="551"/>
      <c r="F17" s="551"/>
      <c r="G17" s="551"/>
      <c r="H17" s="551"/>
      <c r="I17" s="551"/>
      <c r="J17" s="555"/>
      <c r="K17" s="555"/>
      <c r="L17" s="555"/>
      <c r="M17" s="555"/>
      <c r="S17" s="35"/>
      <c r="T17" s="548"/>
      <c r="U17" s="548"/>
      <c r="V17" s="548"/>
      <c r="W17" s="548"/>
      <c r="X17" s="548"/>
    </row>
    <row r="18" spans="2:32" x14ac:dyDescent="0.25">
      <c r="B18" s="620"/>
      <c r="C18" s="605"/>
      <c r="D18" s="551"/>
      <c r="E18" s="551"/>
      <c r="F18" s="551"/>
      <c r="G18" s="551"/>
      <c r="H18" s="551"/>
      <c r="I18" s="551"/>
      <c r="J18" s="555"/>
      <c r="K18" s="555"/>
      <c r="L18" s="555"/>
      <c r="M18" s="555"/>
      <c r="N18" s="603">
        <f t="shared" ref="N18:W18" si="4">(N10/M10)^4-1</f>
        <v>7.8499540564610504E-2</v>
      </c>
      <c r="O18" s="603">
        <f t="shared" si="4"/>
        <v>8.0902948194330859E-2</v>
      </c>
      <c r="P18" s="603">
        <f t="shared" si="4"/>
        <v>8.2663032685441395E-2</v>
      </c>
      <c r="Q18" s="603">
        <f t="shared" si="4"/>
        <v>8.1932466241178004E-2</v>
      </c>
      <c r="R18" s="603">
        <f t="shared" si="4"/>
        <v>2.8618371695726674E-2</v>
      </c>
      <c r="S18" s="603">
        <f t="shared" si="4"/>
        <v>1.0858253310172206E-2</v>
      </c>
      <c r="T18" s="603">
        <f t="shared" si="4"/>
        <v>3.054215121958781E-2</v>
      </c>
      <c r="U18" s="603">
        <f t="shared" si="4"/>
        <v>1.6803639502286805E-2</v>
      </c>
      <c r="V18" s="603">
        <f>(V10/U10)^4-1</f>
        <v>1.6301680581372047E-2</v>
      </c>
      <c r="W18" s="603">
        <f t="shared" si="4"/>
        <v>1.8816976017156817E-2</v>
      </c>
      <c r="X18" s="389"/>
    </row>
    <row r="19" spans="2:32" ht="14.85" customHeight="1" x14ac:dyDescent="0.25">
      <c r="B19" s="509" t="s">
        <v>352</v>
      </c>
      <c r="S19" s="35"/>
      <c r="T19" s="555"/>
      <c r="U19" s="555"/>
      <c r="V19" s="555"/>
      <c r="W19" s="555"/>
      <c r="X19" s="555"/>
    </row>
    <row r="20" spans="2:32" x14ac:dyDescent="0.25">
      <c r="B20" s="626" t="s">
        <v>432</v>
      </c>
      <c r="C20" s="626">
        <v>2019</v>
      </c>
      <c r="D20" s="627">
        <v>2020</v>
      </c>
      <c r="E20" s="627">
        <v>2021</v>
      </c>
      <c r="F20" s="627">
        <v>2022</v>
      </c>
      <c r="G20" s="627">
        <v>2023</v>
      </c>
      <c r="H20" s="628">
        <v>2024</v>
      </c>
      <c r="I20" s="628">
        <v>2025</v>
      </c>
      <c r="J20" s="628">
        <v>2026</v>
      </c>
    </row>
    <row r="21" spans="2:32" ht="21" customHeight="1" x14ac:dyDescent="0.25">
      <c r="B21" s="612" t="s">
        <v>1947</v>
      </c>
      <c r="C21" s="610"/>
      <c r="D21" s="611"/>
      <c r="E21" s="632">
        <v>867.67600000000004</v>
      </c>
      <c r="F21" s="248">
        <v>974.649</v>
      </c>
      <c r="G21" s="248">
        <v>1008.641</v>
      </c>
      <c r="H21" s="248">
        <v>1085.0250000000001</v>
      </c>
      <c r="I21" s="248">
        <v>1152.328</v>
      </c>
      <c r="J21" s="602">
        <v>1222.5840000000001</v>
      </c>
      <c r="K21" s="609"/>
      <c r="L21" s="609"/>
      <c r="M21" s="609"/>
      <c r="N21" s="609"/>
      <c r="O21" s="609"/>
      <c r="P21" s="389"/>
      <c r="Q21" s="389"/>
      <c r="R21" s="389"/>
      <c r="S21" s="389"/>
      <c r="T21" s="389"/>
      <c r="U21" s="389"/>
      <c r="V21" s="389"/>
      <c r="W21" s="389"/>
      <c r="X21" s="389"/>
      <c r="Y21" s="389"/>
      <c r="Z21" s="389"/>
      <c r="AA21" s="389"/>
      <c r="AB21" s="389"/>
      <c r="AC21" s="389"/>
    </row>
    <row r="22" spans="2:32" ht="21" customHeight="1" x14ac:dyDescent="0.25">
      <c r="B22" s="613"/>
      <c r="C22" s="608"/>
      <c r="D22" s="609"/>
      <c r="E22" s="248">
        <f>AVERAGE(L10:O10)</f>
        <v>858.02499999999998</v>
      </c>
      <c r="F22" s="248">
        <f>AVERAGE(P10:S10)</f>
        <v>917.59999999999991</v>
      </c>
      <c r="G22" s="248">
        <f>AVERAGE(T10:W10)</f>
        <v>940.125</v>
      </c>
      <c r="H22" s="248">
        <f>AVERAGE(X10:AA10)</f>
        <v>974.67254896253212</v>
      </c>
      <c r="I22" s="248">
        <f>AVERAGE(AB10:AE10)</f>
        <v>1043.7251441144181</v>
      </c>
      <c r="J22" s="205"/>
      <c r="K22" s="609"/>
      <c r="L22" s="609"/>
      <c r="M22" s="609"/>
      <c r="N22" s="609"/>
      <c r="O22" s="609"/>
      <c r="P22" s="389"/>
      <c r="Q22" s="389"/>
      <c r="R22" s="389"/>
      <c r="S22" s="389"/>
      <c r="T22" s="389"/>
      <c r="U22" s="389"/>
      <c r="V22" s="389"/>
      <c r="W22" s="389"/>
      <c r="X22" s="389"/>
      <c r="Y22" s="389"/>
      <c r="Z22" s="389"/>
      <c r="AA22" s="389"/>
      <c r="AB22" s="389"/>
      <c r="AC22" s="389"/>
    </row>
    <row r="23" spans="2:32" ht="21" customHeight="1" x14ac:dyDescent="0.25">
      <c r="B23" s="631" t="s">
        <v>456</v>
      </c>
      <c r="C23" s="222"/>
      <c r="D23" s="222">
        <v>47</v>
      </c>
      <c r="E23" s="222">
        <v>48</v>
      </c>
      <c r="F23" s="35">
        <v>-50</v>
      </c>
      <c r="G23" s="35">
        <v>-45</v>
      </c>
      <c r="H23" s="35"/>
      <c r="I23" s="35"/>
      <c r="J23" s="624">
        <f>SUM(D23:G23)</f>
        <v>0</v>
      </c>
      <c r="M23" s="609"/>
      <c r="N23" s="609"/>
      <c r="O23" s="609"/>
      <c r="P23" s="389"/>
      <c r="Q23" s="389"/>
      <c r="R23" s="389"/>
      <c r="S23" s="389"/>
      <c r="T23" s="389"/>
      <c r="U23" s="389"/>
      <c r="V23" s="389"/>
      <c r="W23" s="389"/>
      <c r="X23" s="389"/>
      <c r="Y23" s="389"/>
      <c r="Z23" s="389"/>
      <c r="AA23" s="389"/>
      <c r="AB23" s="389"/>
      <c r="AC23" s="389"/>
    </row>
    <row r="24" spans="2:32" x14ac:dyDescent="0.25">
      <c r="B24" s="631" t="s">
        <v>1383</v>
      </c>
      <c r="C24" s="608"/>
      <c r="D24" s="608"/>
      <c r="E24" s="608">
        <f>E21-E23</f>
        <v>819.67600000000004</v>
      </c>
      <c r="F24" s="608">
        <f>F21+F23</f>
        <v>924.649</v>
      </c>
      <c r="G24" s="608">
        <f>G21+G23</f>
        <v>963.64099999999996</v>
      </c>
      <c r="H24" s="608">
        <f>H21+H23</f>
        <v>1085.0250000000001</v>
      </c>
      <c r="I24" s="608">
        <f>I21+I23</f>
        <v>1152.328</v>
      </c>
      <c r="J24" s="624"/>
      <c r="N24" s="625"/>
      <c r="O24" s="605"/>
      <c r="P24" s="389"/>
      <c r="Q24" s="389"/>
      <c r="R24" s="389"/>
      <c r="S24" s="389"/>
      <c r="T24" s="389"/>
      <c r="U24" s="389"/>
      <c r="V24" s="389"/>
      <c r="W24" s="389"/>
      <c r="X24" s="389"/>
      <c r="Y24" s="389"/>
      <c r="Z24" s="389"/>
      <c r="AA24" s="389"/>
      <c r="AB24" s="389"/>
      <c r="AC24" s="389"/>
    </row>
    <row r="25" spans="2:32" x14ac:dyDescent="0.25">
      <c r="B25" s="631" t="s">
        <v>458</v>
      </c>
      <c r="C25" s="204">
        <f>AVERAGE(D10:G10)</f>
        <v>776.52499999999998</v>
      </c>
      <c r="D25" s="204">
        <f>AVERAGE(H10:K10)</f>
        <v>807.625</v>
      </c>
      <c r="E25" s="608">
        <f>AVERAGE(L10:O10)</f>
        <v>858.02499999999998</v>
      </c>
      <c r="F25" s="35"/>
      <c r="G25" s="35"/>
      <c r="H25" s="35"/>
      <c r="I25" s="35"/>
      <c r="J25" s="624"/>
      <c r="K25" s="222" t="s">
        <v>457</v>
      </c>
      <c r="P25" s="389"/>
      <c r="Q25" s="389"/>
      <c r="R25" s="389"/>
      <c r="S25" s="389"/>
      <c r="T25" s="389"/>
      <c r="U25" s="389"/>
      <c r="V25" s="389"/>
      <c r="W25" s="389"/>
      <c r="X25" s="389"/>
      <c r="Y25" s="389"/>
      <c r="Z25" s="389"/>
      <c r="AA25" s="389"/>
      <c r="AB25" s="389"/>
      <c r="AC25" s="389"/>
    </row>
    <row r="26" spans="2:32" x14ac:dyDescent="0.25">
      <c r="B26" s="614" t="s">
        <v>925</v>
      </c>
      <c r="C26" s="222"/>
      <c r="D26" s="222"/>
      <c r="E26" s="222"/>
      <c r="F26" s="222">
        <f>F24/E24-1</f>
        <v>0.12806645552632978</v>
      </c>
      <c r="G26" s="222">
        <f>G24/F24-1+G27</f>
        <v>4.2169515134932167E-2</v>
      </c>
      <c r="H26" s="222">
        <f>H24/G24-1+H27-0.03</f>
        <v>9.5963922249053396E-2</v>
      </c>
      <c r="I26" s="222">
        <f t="shared" ref="I26:J26" si="5">I24/H24-1</f>
        <v>6.2028985507246226E-2</v>
      </c>
      <c r="J26" s="624">
        <f t="shared" si="5"/>
        <v>-1</v>
      </c>
      <c r="P26" s="222"/>
      <c r="Q26" s="222"/>
      <c r="R26" s="222"/>
      <c r="S26" s="222"/>
      <c r="T26" s="222"/>
      <c r="U26" s="222"/>
      <c r="V26" s="222"/>
      <c r="W26" s="222"/>
      <c r="X26" s="222"/>
      <c r="Y26" s="222"/>
      <c r="Z26" s="222"/>
      <c r="AA26" s="222"/>
      <c r="AB26" s="222"/>
      <c r="AC26" s="222"/>
    </row>
    <row r="27" spans="2:32" x14ac:dyDescent="0.25">
      <c r="B27" s="615" t="s">
        <v>895</v>
      </c>
      <c r="C27" s="36"/>
      <c r="D27" s="36"/>
      <c r="E27" s="36"/>
      <c r="F27" s="36"/>
      <c r="G27" s="36">
        <v>0</v>
      </c>
      <c r="H27" s="36"/>
      <c r="I27" s="36"/>
      <c r="J27" s="206"/>
      <c r="P27" s="222"/>
      <c r="Q27" s="222"/>
      <c r="R27" s="222"/>
      <c r="S27" s="222"/>
      <c r="T27" s="222"/>
      <c r="U27" s="222"/>
      <c r="V27" s="222"/>
      <c r="W27" s="222"/>
      <c r="X27" s="222"/>
      <c r="Y27" s="222"/>
      <c r="Z27" s="222"/>
      <c r="AA27" s="222"/>
      <c r="AB27" s="222"/>
      <c r="AC27" s="222"/>
    </row>
    <row r="28" spans="2:32" x14ac:dyDescent="0.25">
      <c r="C28" s="623"/>
      <c r="D28" s="623"/>
      <c r="E28" s="623"/>
      <c r="F28" s="623"/>
      <c r="G28" s="623"/>
      <c r="H28" s="623"/>
      <c r="I28" s="623"/>
      <c r="J28" s="623"/>
      <c r="P28" s="222"/>
      <c r="Q28" s="222"/>
      <c r="R28" s="222"/>
      <c r="S28" s="222"/>
      <c r="T28" s="222"/>
      <c r="U28" s="222"/>
      <c r="V28" s="222"/>
      <c r="W28" s="222"/>
      <c r="X28" s="222"/>
      <c r="Y28" s="222"/>
      <c r="Z28" s="222"/>
      <c r="AA28" s="222"/>
      <c r="AB28" s="222"/>
      <c r="AC28" s="222"/>
    </row>
    <row r="29" spans="2:32" x14ac:dyDescent="0.25">
      <c r="B29" s="612" t="s">
        <v>1964</v>
      </c>
      <c r="C29" s="599"/>
      <c r="D29" s="600"/>
      <c r="E29" s="601">
        <v>867.67600000000004</v>
      </c>
      <c r="F29" s="248">
        <v>974.649</v>
      </c>
      <c r="G29" s="248">
        <v>1007.94</v>
      </c>
      <c r="H29" s="248">
        <v>1012.097</v>
      </c>
      <c r="I29" s="248">
        <v>1128.174</v>
      </c>
      <c r="J29" s="248">
        <v>1200.9649999999999</v>
      </c>
      <c r="K29" s="623"/>
      <c r="L29" s="623"/>
      <c r="M29" s="623"/>
      <c r="N29" s="623"/>
      <c r="P29" s="222"/>
      <c r="Q29" s="222"/>
      <c r="R29" s="222"/>
      <c r="S29" s="222"/>
      <c r="T29" s="222"/>
      <c r="U29" s="222"/>
      <c r="V29" s="222"/>
      <c r="W29" s="222"/>
      <c r="X29" s="222"/>
      <c r="Y29" s="222"/>
      <c r="Z29" s="222"/>
      <c r="AA29" s="222"/>
      <c r="AB29" s="222"/>
      <c r="AC29" s="222"/>
    </row>
    <row r="30" spans="2:32" x14ac:dyDescent="0.25">
      <c r="P30" s="222"/>
      <c r="Q30" s="222"/>
      <c r="R30" s="222"/>
      <c r="S30" s="222"/>
      <c r="T30" s="222"/>
      <c r="U30" s="222"/>
      <c r="V30" s="222"/>
      <c r="W30" s="222"/>
      <c r="X30" s="222"/>
      <c r="Y30" s="222"/>
      <c r="Z30" s="222"/>
      <c r="AA30" s="222"/>
      <c r="AB30" s="222"/>
      <c r="AC30" s="222"/>
    </row>
    <row r="31" spans="2:32" x14ac:dyDescent="0.25">
      <c r="S31" s="222"/>
      <c r="T31" s="222"/>
      <c r="U31" s="222"/>
      <c r="V31" s="222"/>
      <c r="W31" s="222"/>
      <c r="X31" s="222"/>
      <c r="Y31" s="222"/>
      <c r="Z31" s="222"/>
      <c r="AA31" s="222"/>
      <c r="AB31" s="222"/>
      <c r="AC31" s="222"/>
      <c r="AD31" s="222"/>
      <c r="AE31" s="222"/>
      <c r="AF31" s="222"/>
    </row>
    <row r="32" spans="2:32" x14ac:dyDescent="0.25">
      <c r="P32" s="222"/>
      <c r="Q32" s="222"/>
      <c r="R32" s="222"/>
      <c r="S32" s="222"/>
      <c r="T32" s="222"/>
      <c r="U32" s="222"/>
      <c r="V32" s="222"/>
      <c r="W32" s="222"/>
      <c r="X32" s="222"/>
      <c r="Y32" s="222"/>
      <c r="Z32" s="222"/>
      <c r="AA32" s="222"/>
      <c r="AB32" s="222"/>
      <c r="AC32" s="222"/>
    </row>
    <row r="33" spans="6:29" x14ac:dyDescent="0.25">
      <c r="F33" s="35"/>
      <c r="G33" s="35"/>
      <c r="P33" s="222"/>
      <c r="Q33" s="222"/>
      <c r="R33" s="222"/>
      <c r="S33" s="222"/>
      <c r="T33" s="222"/>
      <c r="U33" s="222"/>
      <c r="V33" s="222"/>
      <c r="W33" s="222"/>
      <c r="X33" s="222"/>
      <c r="Y33" s="222"/>
      <c r="Z33" s="222"/>
      <c r="AA33" s="222"/>
      <c r="AB33" s="222"/>
      <c r="AC33" s="222"/>
    </row>
    <row r="34" spans="6:29" x14ac:dyDescent="0.25">
      <c r="P34" s="222"/>
      <c r="Q34" s="222"/>
      <c r="R34" s="222"/>
      <c r="S34" s="222"/>
      <c r="T34" s="222"/>
      <c r="U34" s="222"/>
      <c r="V34" s="222"/>
      <c r="W34" s="222"/>
      <c r="X34" s="222"/>
      <c r="Y34" s="222"/>
      <c r="Z34" s="222"/>
      <c r="AA34" s="222"/>
      <c r="AB34" s="222"/>
      <c r="AC34" s="222"/>
    </row>
    <row r="35" spans="6:29" x14ac:dyDescent="0.25">
      <c r="P35" s="222"/>
      <c r="Q35" s="222"/>
      <c r="R35" s="222"/>
      <c r="S35" s="222"/>
      <c r="T35" s="222"/>
      <c r="U35" s="222"/>
      <c r="V35" s="222"/>
      <c r="W35" s="222"/>
      <c r="X35" s="222"/>
      <c r="Y35" s="222"/>
      <c r="Z35" s="222"/>
      <c r="AA35" s="222"/>
      <c r="AB35" s="222"/>
      <c r="AC35" s="222"/>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B11" sqref="B11"/>
    </sheetView>
  </sheetViews>
  <sheetFormatPr defaultColWidth="10.8554687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6"/>
      <c r="F1" s="16"/>
    </row>
    <row r="2" spans="1:7" ht="16.5" customHeight="1" x14ac:dyDescent="0.25">
      <c r="A2" s="1319" t="s">
        <v>37</v>
      </c>
      <c r="B2" s="1320"/>
      <c r="C2" s="1320"/>
      <c r="D2" s="1321"/>
      <c r="E2" s="16"/>
      <c r="F2" s="16"/>
    </row>
    <row r="3" spans="1:7" ht="148.35" customHeight="1" x14ac:dyDescent="0.25">
      <c r="A3" s="19" t="s">
        <v>855</v>
      </c>
      <c r="B3" s="14" t="s">
        <v>1755</v>
      </c>
      <c r="C3" s="14" t="s">
        <v>853</v>
      </c>
      <c r="D3" s="23" t="s">
        <v>927</v>
      </c>
    </row>
    <row r="4" spans="1:7" ht="85.5" customHeight="1" x14ac:dyDescent="0.25">
      <c r="A4" s="19" t="s">
        <v>1834</v>
      </c>
      <c r="B4" s="14" t="s">
        <v>1835</v>
      </c>
      <c r="C4" s="14" t="s">
        <v>926</v>
      </c>
      <c r="D4" s="23" t="s">
        <v>927</v>
      </c>
      <c r="E4" s="14"/>
      <c r="F4" s="14"/>
    </row>
    <row r="5" spans="1:7" ht="168" customHeight="1" x14ac:dyDescent="0.25">
      <c r="A5" s="19" t="s">
        <v>843</v>
      </c>
      <c r="B5" s="14" t="s">
        <v>844</v>
      </c>
      <c r="C5" s="14" t="s">
        <v>866</v>
      </c>
      <c r="D5" s="23" t="s">
        <v>927</v>
      </c>
      <c r="E5" s="14"/>
      <c r="F5" s="14"/>
    </row>
    <row r="6" spans="1:7" ht="105" customHeight="1" x14ac:dyDescent="0.25">
      <c r="A6" s="19" t="s">
        <v>845</v>
      </c>
      <c r="B6" s="14" t="s">
        <v>38</v>
      </c>
      <c r="C6" s="14" t="s">
        <v>39</v>
      </c>
      <c r="D6" s="23" t="s">
        <v>927</v>
      </c>
      <c r="E6" s="14"/>
      <c r="F6" s="14"/>
    </row>
    <row r="7" spans="1:7" ht="61.5" customHeight="1" x14ac:dyDescent="0.25">
      <c r="A7" s="19" t="s">
        <v>1837</v>
      </c>
      <c r="B7" s="14" t="s">
        <v>1838</v>
      </c>
      <c r="C7" s="14" t="s">
        <v>1842</v>
      </c>
      <c r="D7" s="23" t="s">
        <v>927</v>
      </c>
      <c r="E7" s="14"/>
      <c r="F7" s="14"/>
    </row>
    <row r="8" spans="1:7" ht="100.35" customHeight="1" x14ac:dyDescent="0.25">
      <c r="A8" s="19" t="s">
        <v>42</v>
      </c>
      <c r="B8" s="14" t="s">
        <v>43</v>
      </c>
      <c r="C8" s="28" t="s">
        <v>44</v>
      </c>
      <c r="D8" s="23" t="s">
        <v>927</v>
      </c>
      <c r="E8" s="17"/>
      <c r="F8" s="14"/>
      <c r="G8" s="29"/>
    </row>
    <row r="9" spans="1:7" ht="78" customHeight="1" x14ac:dyDescent="0.25">
      <c r="A9" s="19" t="s">
        <v>45</v>
      </c>
      <c r="B9" s="14" t="s">
        <v>46</v>
      </c>
      <c r="C9" s="14" t="s">
        <v>872</v>
      </c>
      <c r="D9" s="23" t="s">
        <v>927</v>
      </c>
      <c r="E9" s="14"/>
      <c r="F9" s="14"/>
    </row>
    <row r="10" spans="1:7" ht="67.5" customHeight="1" x14ac:dyDescent="0.25">
      <c r="A10" s="19" t="s">
        <v>819</v>
      </c>
      <c r="B10" s="14" t="s">
        <v>829</v>
      </c>
      <c r="C10" s="14" t="s">
        <v>886</v>
      </c>
      <c r="D10" s="23" t="s">
        <v>927</v>
      </c>
      <c r="E10" s="14"/>
      <c r="F10" s="14"/>
    </row>
    <row r="11" spans="1:7" ht="63.6" customHeight="1" x14ac:dyDescent="0.25">
      <c r="A11" s="19" t="s">
        <v>47</v>
      </c>
      <c r="B11" s="14" t="s">
        <v>48</v>
      </c>
      <c r="C11" s="14" t="s">
        <v>846</v>
      </c>
      <c r="D11" s="15"/>
      <c r="E11" s="14"/>
      <c r="F11" s="14"/>
    </row>
    <row r="12" spans="1:7" ht="15" customHeight="1" x14ac:dyDescent="0.25">
      <c r="A12" s="1319" t="s">
        <v>847</v>
      </c>
      <c r="B12" s="1320"/>
      <c r="C12" s="1320"/>
      <c r="D12" s="1321"/>
      <c r="E12" s="16"/>
      <c r="F12" s="14"/>
    </row>
    <row r="13" spans="1:7" ht="29.85" customHeight="1" x14ac:dyDescent="0.25">
      <c r="A13" s="20" t="s">
        <v>9</v>
      </c>
      <c r="B13" s="1325" t="s">
        <v>849</v>
      </c>
      <c r="C13" s="1325"/>
      <c r="D13" s="24"/>
      <c r="E13" s="16"/>
      <c r="F13" s="14"/>
    </row>
    <row r="14" spans="1:7" ht="48.6" customHeight="1" x14ac:dyDescent="0.25">
      <c r="A14" s="18" t="s">
        <v>848</v>
      </c>
      <c r="B14" s="1325" t="s">
        <v>859</v>
      </c>
      <c r="C14" s="1325"/>
      <c r="D14" s="23"/>
      <c r="E14" s="16"/>
      <c r="F14" s="14"/>
    </row>
    <row r="15" spans="1:7" ht="48.6" customHeight="1" x14ac:dyDescent="0.25">
      <c r="A15" s="18" t="s">
        <v>850</v>
      </c>
      <c r="B15" s="1325" t="s">
        <v>851</v>
      </c>
      <c r="C15" s="1325"/>
      <c r="D15" s="15"/>
      <c r="E15" s="16"/>
      <c r="F15" s="14"/>
    </row>
    <row r="16" spans="1:7" x14ac:dyDescent="0.25">
      <c r="A16" s="1322" t="s">
        <v>59</v>
      </c>
      <c r="B16" s="1323"/>
      <c r="C16" s="1323"/>
      <c r="D16" s="1324"/>
      <c r="E16" s="14"/>
      <c r="F16" s="14"/>
    </row>
    <row r="17" spans="1:6" ht="36.6" customHeight="1" x14ac:dyDescent="0.25">
      <c r="A17" s="1317" t="s">
        <v>852</v>
      </c>
      <c r="B17" s="1318"/>
      <c r="C17" s="1318"/>
      <c r="D17" s="24"/>
      <c r="E17" s="14"/>
      <c r="F17" s="14"/>
    </row>
    <row r="18" spans="1:6" ht="145.5" customHeight="1" x14ac:dyDescent="0.25">
      <c r="A18" s="19" t="s">
        <v>60</v>
      </c>
      <c r="B18" s="14" t="s">
        <v>873</v>
      </c>
      <c r="C18" s="14" t="s">
        <v>880</v>
      </c>
      <c r="D18" s="23"/>
      <c r="E18" s="14"/>
      <c r="F18" s="14"/>
    </row>
    <row r="19" spans="1:6" ht="63.6" customHeight="1" x14ac:dyDescent="0.25">
      <c r="A19" s="19" t="s">
        <v>61</v>
      </c>
      <c r="B19" s="14" t="s">
        <v>874</v>
      </c>
      <c r="C19" s="14" t="s">
        <v>875</v>
      </c>
      <c r="D19" s="23"/>
      <c r="E19" s="14"/>
      <c r="F19" s="14"/>
    </row>
    <row r="20" spans="1:6" ht="63.6" customHeight="1" x14ac:dyDescent="0.25">
      <c r="A20" s="19" t="s">
        <v>876</v>
      </c>
      <c r="B20" s="14" t="s">
        <v>877</v>
      </c>
      <c r="C20" s="14" t="s">
        <v>878</v>
      </c>
      <c r="D20" s="23"/>
      <c r="E20" s="14"/>
      <c r="F20" s="14"/>
    </row>
    <row r="21" spans="1:6" ht="34.35" customHeight="1" x14ac:dyDescent="0.25">
      <c r="A21" s="1317" t="s">
        <v>826</v>
      </c>
      <c r="B21" s="1318"/>
      <c r="C21" s="1318"/>
      <c r="D21" s="15"/>
      <c r="E21" s="14"/>
      <c r="F21" s="14"/>
    </row>
    <row r="22" spans="1:6" x14ac:dyDescent="0.25">
      <c r="A22" s="1322" t="s">
        <v>62</v>
      </c>
      <c r="B22" s="1323"/>
      <c r="C22" s="1323"/>
      <c r="D22" s="1324"/>
      <c r="E22" s="14"/>
      <c r="F22" s="14"/>
    </row>
    <row r="23" spans="1:6" ht="29.1" customHeight="1" x14ac:dyDescent="0.25">
      <c r="A23" s="19" t="s">
        <v>63</v>
      </c>
      <c r="B23" s="14"/>
      <c r="C23" s="14" t="s">
        <v>64</v>
      </c>
      <c r="D23" s="24"/>
      <c r="E23" s="14"/>
      <c r="F23" s="14"/>
    </row>
    <row r="24" spans="1:6" ht="57.6" customHeight="1" x14ac:dyDescent="0.25">
      <c r="A24" s="19" t="s">
        <v>65</v>
      </c>
      <c r="B24" s="14" t="s">
        <v>66</v>
      </c>
      <c r="C24" s="14" t="s">
        <v>67</v>
      </c>
      <c r="D24" s="23"/>
      <c r="E24" s="14"/>
      <c r="F24" s="14"/>
    </row>
    <row r="25" spans="1:6" ht="29.1" customHeight="1" x14ac:dyDescent="0.25">
      <c r="A25" s="19" t="s">
        <v>68</v>
      </c>
      <c r="B25" s="14" t="s">
        <v>69</v>
      </c>
      <c r="C25" s="14" t="s">
        <v>865</v>
      </c>
      <c r="D25" s="23"/>
      <c r="E25" s="14"/>
      <c r="F25" s="14"/>
    </row>
    <row r="26" spans="1:6" ht="72" customHeight="1" x14ac:dyDescent="0.2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workbookViewId="0">
      <selection activeCell="X12" sqref="X12"/>
    </sheetView>
  </sheetViews>
  <sheetFormatPr defaultColWidth="10.85546875" defaultRowHeight="15" x14ac:dyDescent="0.25"/>
  <sheetData>
    <row r="1" spans="2:33" x14ac:dyDescent="0.25">
      <c r="B1" s="1357" t="s">
        <v>1385</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3" x14ac:dyDescent="0.25">
      <c r="B2" s="1358" t="s">
        <v>1388</v>
      </c>
      <c r="C2" s="1358"/>
      <c r="D2" s="1358"/>
      <c r="E2" s="1358"/>
      <c r="F2" s="1358"/>
      <c r="G2" s="1358"/>
      <c r="H2" s="1358"/>
      <c r="I2" s="1358"/>
      <c r="J2" s="1358"/>
      <c r="K2" s="1358"/>
      <c r="L2" s="1358"/>
      <c r="M2" s="1358"/>
      <c r="N2" s="1358"/>
      <c r="O2" s="1358"/>
      <c r="P2" s="1358"/>
      <c r="Q2" s="1358"/>
      <c r="R2" s="1358"/>
      <c r="S2" s="1358"/>
      <c r="T2" s="1358"/>
      <c r="U2" s="1358"/>
      <c r="V2" s="1358"/>
      <c r="W2" s="1358"/>
      <c r="X2" s="1358"/>
      <c r="Y2" s="1358"/>
      <c r="Z2" s="1358"/>
      <c r="AA2" s="1358"/>
      <c r="AB2" s="1358"/>
      <c r="AC2" s="1358"/>
    </row>
    <row r="3" spans="2:33" x14ac:dyDescent="0.25">
      <c r="B3" s="1358"/>
      <c r="C3" s="1358"/>
      <c r="D3" s="1358"/>
      <c r="E3" s="1358"/>
      <c r="F3" s="1358"/>
      <c r="G3" s="1358"/>
      <c r="H3" s="1358"/>
      <c r="I3" s="1358"/>
      <c r="J3" s="1358"/>
      <c r="K3" s="1358"/>
      <c r="L3" s="1358"/>
      <c r="M3" s="1358"/>
      <c r="N3" s="1358"/>
      <c r="O3" s="1358"/>
      <c r="P3" s="1358"/>
      <c r="Q3" s="1358"/>
      <c r="R3" s="1358"/>
      <c r="S3" s="1358"/>
      <c r="T3" s="1358"/>
      <c r="U3" s="1358"/>
      <c r="V3" s="1358"/>
      <c r="W3" s="1358"/>
      <c r="X3" s="1358"/>
      <c r="Y3" s="1358"/>
      <c r="Z3" s="1358"/>
      <c r="AA3" s="1358"/>
      <c r="AB3" s="1358"/>
      <c r="AC3" s="1358"/>
    </row>
    <row r="4" spans="2:33" x14ac:dyDescent="0.25">
      <c r="B4" s="1358"/>
      <c r="C4" s="1358"/>
      <c r="D4" s="1358"/>
      <c r="E4" s="1358"/>
      <c r="F4" s="1358"/>
      <c r="G4" s="1358"/>
      <c r="H4" s="1358"/>
      <c r="I4" s="1358"/>
      <c r="J4" s="1358"/>
      <c r="K4" s="1358"/>
      <c r="L4" s="1358"/>
      <c r="M4" s="1358"/>
      <c r="N4" s="1358"/>
      <c r="O4" s="1358"/>
      <c r="P4" s="1358"/>
      <c r="Q4" s="1358"/>
      <c r="R4" s="1358"/>
      <c r="S4" s="1358"/>
      <c r="T4" s="1358"/>
      <c r="U4" s="1358"/>
      <c r="V4" s="1358"/>
      <c r="W4" s="1358"/>
      <c r="X4" s="1358"/>
      <c r="Y4" s="1358"/>
      <c r="Z4" s="1358"/>
      <c r="AA4" s="1358"/>
      <c r="AB4" s="1358"/>
      <c r="AC4" s="1358"/>
    </row>
    <row r="5" spans="2:33" x14ac:dyDescent="0.25">
      <c r="B5" s="387"/>
      <c r="C5" s="222"/>
      <c r="D5" s="222"/>
      <c r="E5" s="222"/>
      <c r="F5" s="222"/>
      <c r="G5" s="222"/>
      <c r="H5" s="222"/>
      <c r="I5" s="222"/>
      <c r="J5" s="222"/>
      <c r="K5" s="222"/>
      <c r="L5" s="222"/>
      <c r="M5" s="222"/>
      <c r="N5" s="222"/>
      <c r="O5" s="222"/>
      <c r="P5" s="222"/>
      <c r="Q5" s="222"/>
      <c r="R5" s="222"/>
      <c r="S5" s="222"/>
      <c r="T5" s="222"/>
      <c r="U5" s="222"/>
      <c r="V5" s="222"/>
      <c r="W5" s="222"/>
      <c r="X5" s="222"/>
      <c r="Y5" s="222"/>
    </row>
    <row r="6" spans="2:33" x14ac:dyDescent="0.25">
      <c r="B6" s="1362" t="s">
        <v>1702</v>
      </c>
      <c r="C6" s="1411"/>
      <c r="D6" s="1366" t="s">
        <v>280</v>
      </c>
      <c r="E6" s="1379"/>
      <c r="F6" s="1379"/>
      <c r="G6" s="1379"/>
      <c r="H6" s="1379"/>
      <c r="I6" s="1379"/>
      <c r="J6" s="1379"/>
      <c r="K6" s="1379"/>
      <c r="L6" s="1379"/>
      <c r="M6" s="1379"/>
      <c r="N6" s="1379"/>
      <c r="O6" s="1379"/>
      <c r="P6" s="1379"/>
      <c r="Q6" s="1380"/>
      <c r="R6" s="1380"/>
      <c r="S6" s="1380"/>
      <c r="T6" s="1380"/>
      <c r="U6" s="1380"/>
      <c r="V6" s="1365"/>
      <c r="W6" s="1390" t="s">
        <v>281</v>
      </c>
      <c r="X6" s="1391"/>
      <c r="Y6" s="1391"/>
      <c r="Z6" s="1391"/>
      <c r="AA6" s="1391"/>
      <c r="AB6" s="1391"/>
      <c r="AC6" s="1391"/>
      <c r="AD6" s="1391"/>
      <c r="AE6" s="1391"/>
      <c r="AF6" s="1391"/>
      <c r="AG6" s="1391"/>
    </row>
    <row r="7" spans="2:33" x14ac:dyDescent="0.25">
      <c r="B7" s="1364"/>
      <c r="C7" s="1365"/>
      <c r="D7" s="195">
        <v>2018</v>
      </c>
      <c r="E7" s="1359">
        <v>2019</v>
      </c>
      <c r="F7" s="1360"/>
      <c r="G7" s="1360"/>
      <c r="H7" s="1361"/>
      <c r="I7" s="1359">
        <v>2020</v>
      </c>
      <c r="J7" s="1360"/>
      <c r="K7" s="1360"/>
      <c r="L7" s="1360"/>
      <c r="M7" s="1359">
        <v>2021</v>
      </c>
      <c r="N7" s="1360"/>
      <c r="O7" s="1360"/>
      <c r="P7" s="1360"/>
      <c r="Q7" s="1388">
        <v>2022</v>
      </c>
      <c r="R7" s="1389"/>
      <c r="S7" s="270"/>
      <c r="T7" s="270"/>
      <c r="U7" s="221"/>
      <c r="V7" s="270">
        <v>2023</v>
      </c>
      <c r="W7" s="272"/>
      <c r="X7" s="242"/>
      <c r="Y7" s="1369">
        <v>2024</v>
      </c>
      <c r="Z7" s="1381"/>
      <c r="AA7" s="1381"/>
      <c r="AB7" s="1370"/>
      <c r="AC7" s="1368">
        <v>2025</v>
      </c>
      <c r="AD7" s="1381"/>
      <c r="AE7" s="1381"/>
      <c r="AF7" s="1370"/>
      <c r="AG7" s="498">
        <v>2026</v>
      </c>
    </row>
    <row r="8" spans="2:33" x14ac:dyDescent="0.25">
      <c r="B8" s="1366"/>
      <c r="C8" s="1367"/>
      <c r="D8" s="195" t="s">
        <v>282</v>
      </c>
      <c r="E8" s="195" t="s">
        <v>283</v>
      </c>
      <c r="F8" s="196" t="s">
        <v>284</v>
      </c>
      <c r="G8" s="196" t="s">
        <v>238</v>
      </c>
      <c r="H8" s="197" t="s">
        <v>282</v>
      </c>
      <c r="I8" s="196" t="s">
        <v>283</v>
      </c>
      <c r="J8" s="196" t="s">
        <v>284</v>
      </c>
      <c r="K8" s="196" t="s">
        <v>238</v>
      </c>
      <c r="L8" s="196" t="s">
        <v>282</v>
      </c>
      <c r="M8" s="195" t="s">
        <v>283</v>
      </c>
      <c r="N8" s="196" t="s">
        <v>284</v>
      </c>
      <c r="O8" s="196" t="s">
        <v>238</v>
      </c>
      <c r="P8" s="196" t="s">
        <v>282</v>
      </c>
      <c r="Q8" s="267" t="s">
        <v>283</v>
      </c>
      <c r="R8" s="268" t="s">
        <v>284</v>
      </c>
      <c r="S8" s="268" t="s">
        <v>238</v>
      </c>
      <c r="T8" s="268" t="s">
        <v>282</v>
      </c>
      <c r="U8" s="267" t="s">
        <v>283</v>
      </c>
      <c r="V8" s="268" t="s">
        <v>284</v>
      </c>
      <c r="W8" s="252" t="s">
        <v>238</v>
      </c>
      <c r="X8" s="253" t="s">
        <v>282</v>
      </c>
      <c r="Y8" s="252" t="s">
        <v>283</v>
      </c>
      <c r="Z8" s="249" t="s">
        <v>284</v>
      </c>
      <c r="AA8" s="252" t="s">
        <v>238</v>
      </c>
      <c r="AB8" s="252" t="s">
        <v>282</v>
      </c>
      <c r="AC8" s="251" t="s">
        <v>283</v>
      </c>
      <c r="AD8" s="249" t="s">
        <v>284</v>
      </c>
      <c r="AE8" s="252" t="s">
        <v>238</v>
      </c>
      <c r="AF8" s="252" t="s">
        <v>282</v>
      </c>
      <c r="AG8" s="251" t="s">
        <v>283</v>
      </c>
    </row>
    <row r="9" spans="2:33" x14ac:dyDescent="0.25">
      <c r="B9" s="72" t="s">
        <v>1387</v>
      </c>
      <c r="C9" s="656"/>
      <c r="D9" s="657"/>
      <c r="E9" s="656"/>
      <c r="F9" s="656"/>
      <c r="G9" s="656"/>
      <c r="H9" s="656"/>
      <c r="I9" s="656"/>
      <c r="J9" s="658"/>
      <c r="K9" s="658"/>
      <c r="L9" s="658"/>
      <c r="M9" s="658"/>
      <c r="N9" s="658"/>
      <c r="O9" s="658"/>
      <c r="P9" s="658"/>
      <c r="Q9" s="636"/>
      <c r="R9" s="637">
        <v>0</v>
      </c>
      <c r="S9" s="638">
        <v>0</v>
      </c>
      <c r="T9" s="637">
        <v>0</v>
      </c>
      <c r="U9" s="637">
        <v>0</v>
      </c>
      <c r="V9" s="637">
        <v>0</v>
      </c>
      <c r="W9" s="637">
        <v>-7.7999999999999999E-4</v>
      </c>
      <c r="X9" s="637">
        <v>-7.7999999999999999E-4</v>
      </c>
      <c r="Y9" s="637">
        <v>-9.5E-4</v>
      </c>
      <c r="Z9" s="637">
        <v>-9.5E-4</v>
      </c>
      <c r="AA9" s="637">
        <v>-9.5E-4</v>
      </c>
      <c r="AB9" s="637">
        <v>-9.5E-4</v>
      </c>
      <c r="AC9" s="637">
        <v>-9.3999999999999997E-4</v>
      </c>
      <c r="AD9" s="637">
        <v>-9.3999999999999997E-4</v>
      </c>
      <c r="AE9" s="637">
        <v>-9.3999999999999997E-4</v>
      </c>
      <c r="AF9" s="637">
        <v>-9.3999999999999997E-4</v>
      </c>
      <c r="AG9" s="638">
        <v>-9.3999999999999997E-4</v>
      </c>
    </row>
    <row r="10" spans="2:33" x14ac:dyDescent="0.25">
      <c r="B10" s="35" t="s">
        <v>1386</v>
      </c>
      <c r="C10" s="245"/>
      <c r="D10" s="579"/>
      <c r="E10" s="245"/>
      <c r="F10" s="245"/>
      <c r="G10" s="245"/>
      <c r="H10" s="245"/>
      <c r="I10" s="245"/>
      <c r="J10" s="635"/>
      <c r="K10" s="635"/>
      <c r="L10" s="635"/>
      <c r="M10" s="635"/>
      <c r="N10" s="635"/>
      <c r="O10" s="635"/>
      <c r="P10" s="635"/>
      <c r="Q10" s="635"/>
      <c r="R10" s="634"/>
      <c r="S10" s="634"/>
      <c r="T10" s="634"/>
      <c r="U10" s="634">
        <v>26095</v>
      </c>
      <c r="V10" s="634">
        <v>26404</v>
      </c>
      <c r="W10" s="634">
        <v>26686</v>
      </c>
      <c r="X10" s="634">
        <v>26931</v>
      </c>
      <c r="Y10" s="634">
        <v>27174</v>
      </c>
      <c r="Z10" s="634">
        <v>27411</v>
      </c>
      <c r="AA10" s="634">
        <v>27647</v>
      </c>
      <c r="AB10" s="634">
        <v>27893</v>
      </c>
      <c r="AC10" s="634">
        <v>28143</v>
      </c>
      <c r="AD10" s="634">
        <v>28400</v>
      </c>
      <c r="AE10" s="634">
        <v>28649</v>
      </c>
      <c r="AF10" s="634">
        <v>28910</v>
      </c>
      <c r="AG10" s="634">
        <v>28910</v>
      </c>
    </row>
    <row r="11" spans="2:33" x14ac:dyDescent="0.25">
      <c r="B11" s="35" t="s">
        <v>312</v>
      </c>
      <c r="C11" s="533"/>
      <c r="D11" s="532"/>
      <c r="E11" s="533"/>
      <c r="F11" s="533"/>
      <c r="G11" s="533"/>
      <c r="H11" s="533"/>
      <c r="I11" s="533"/>
      <c r="J11" s="655">
        <v>45</v>
      </c>
      <c r="K11" s="655">
        <v>45</v>
      </c>
      <c r="L11" s="655">
        <v>45</v>
      </c>
      <c r="M11" s="655">
        <v>45</v>
      </c>
      <c r="N11" s="655">
        <v>45</v>
      </c>
      <c r="O11" s="655">
        <v>45</v>
      </c>
      <c r="P11" s="655">
        <v>45</v>
      </c>
      <c r="Q11" s="655">
        <v>45</v>
      </c>
      <c r="R11" s="654">
        <v>45</v>
      </c>
      <c r="S11" s="654">
        <v>45</v>
      </c>
      <c r="T11" s="654">
        <v>45</v>
      </c>
      <c r="U11" s="659">
        <v>45</v>
      </c>
      <c r="V11" s="659">
        <v>45</v>
      </c>
      <c r="W11" s="659">
        <f>W9*W10*(-1)*0.1</f>
        <v>2.0815079999999999</v>
      </c>
      <c r="X11" s="659">
        <f t="shared" ref="X11:AG11" si="0">X9*X10*(-1)*0.1</f>
        <v>2.1006180000000003</v>
      </c>
      <c r="Y11" s="659">
        <f t="shared" si="0"/>
        <v>2.5815300000000003</v>
      </c>
      <c r="Z11" s="659">
        <f t="shared" si="0"/>
        <v>2.6040450000000002</v>
      </c>
      <c r="AA11" s="659">
        <f t="shared" si="0"/>
        <v>2.626465</v>
      </c>
      <c r="AB11" s="659">
        <f t="shared" si="0"/>
        <v>2.6498349999999999</v>
      </c>
      <c r="AC11" s="659">
        <f t="shared" si="0"/>
        <v>2.6454420000000001</v>
      </c>
      <c r="AD11" s="659">
        <f t="shared" si="0"/>
        <v>2.6696</v>
      </c>
      <c r="AE11" s="659">
        <f t="shared" si="0"/>
        <v>2.693006</v>
      </c>
      <c r="AF11" s="659">
        <f t="shared" si="0"/>
        <v>2.7175400000000001</v>
      </c>
      <c r="AG11" s="659">
        <f t="shared" si="0"/>
        <v>2.7175400000000001</v>
      </c>
    </row>
    <row r="12" spans="2:33" x14ac:dyDescent="0.25">
      <c r="B12" s="35"/>
      <c r="C12" s="245"/>
      <c r="D12" s="245"/>
      <c r="E12" s="245"/>
      <c r="F12" s="245"/>
      <c r="G12" s="245"/>
      <c r="H12" s="245"/>
      <c r="I12" s="245"/>
      <c r="J12" s="635"/>
      <c r="K12" s="635"/>
      <c r="L12" s="635"/>
      <c r="M12" s="635"/>
      <c r="N12" s="635"/>
      <c r="O12" s="635"/>
      <c r="P12" s="635"/>
      <c r="Q12" s="635"/>
      <c r="R12" s="634"/>
      <c r="S12" s="634"/>
      <c r="T12" s="634"/>
      <c r="U12" s="74"/>
      <c r="V12" s="74"/>
      <c r="W12" s="74"/>
      <c r="X12" s="74"/>
      <c r="Y12" s="74"/>
      <c r="Z12" s="74"/>
      <c r="AA12" s="74"/>
      <c r="AB12" s="74"/>
      <c r="AC12" s="74"/>
      <c r="AD12" s="74"/>
      <c r="AE12" s="74"/>
      <c r="AF12" s="74"/>
      <c r="AG12" s="74"/>
    </row>
    <row r="13" spans="2:33" x14ac:dyDescent="0.25">
      <c r="B13" s="222"/>
      <c r="C13" s="222"/>
      <c r="D13" s="222"/>
      <c r="E13" s="222"/>
      <c r="F13" s="222"/>
      <c r="G13" s="222"/>
      <c r="H13" s="222"/>
      <c r="I13" s="222"/>
      <c r="J13" s="222"/>
      <c r="K13" s="222"/>
      <c r="L13" s="222"/>
      <c r="M13" s="222"/>
      <c r="N13" s="222"/>
      <c r="O13" s="222"/>
      <c r="P13" s="222"/>
      <c r="Q13" s="222"/>
      <c r="R13" s="222"/>
      <c r="S13" s="222"/>
      <c r="T13" s="222"/>
      <c r="U13" s="222"/>
      <c r="V13" s="222"/>
      <c r="W13" s="222"/>
      <c r="X13" s="222"/>
      <c r="Y13" s="222"/>
      <c r="Z13" s="35"/>
      <c r="AA13" s="35"/>
      <c r="AB13" s="35"/>
      <c r="AC13" s="35"/>
    </row>
    <row r="14" spans="2:33" x14ac:dyDescent="0.25">
      <c r="B14" s="1313" t="s">
        <v>1760</v>
      </c>
      <c r="C14" s="1313"/>
      <c r="D14" s="1313"/>
      <c r="E14" s="1313"/>
      <c r="F14" s="1313"/>
      <c r="G14" s="1313"/>
      <c r="H14" s="1313"/>
      <c r="I14" s="1313"/>
      <c r="J14" s="1313"/>
      <c r="K14" s="1313"/>
      <c r="L14" s="1313"/>
      <c r="M14" s="1313"/>
      <c r="N14" s="1313"/>
      <c r="O14" s="1313"/>
      <c r="P14" s="1313"/>
      <c r="Q14" s="1313"/>
      <c r="R14" s="1313"/>
      <c r="S14" s="1313"/>
      <c r="T14" s="1313"/>
      <c r="U14" s="1313"/>
      <c r="V14" s="1313"/>
      <c r="W14" s="1313"/>
      <c r="X14" s="1313"/>
      <c r="Y14" s="1313"/>
      <c r="Z14" s="1313"/>
      <c r="AA14" s="1313"/>
      <c r="AB14" s="1313"/>
      <c r="AC14" s="1313"/>
      <c r="AD14" s="1313"/>
      <c r="AE14" s="1313"/>
      <c r="AF14" s="1313"/>
    </row>
    <row r="15" spans="2:33" x14ac:dyDescent="0.25">
      <c r="B15" s="1362" t="s">
        <v>1701</v>
      </c>
      <c r="C15" s="1411"/>
      <c r="D15" s="1427" t="s">
        <v>280</v>
      </c>
      <c r="E15" s="1428"/>
      <c r="F15" s="1428"/>
      <c r="G15" s="1428"/>
      <c r="H15" s="1428"/>
      <c r="I15" s="1428"/>
      <c r="J15" s="1428"/>
      <c r="K15" s="1428"/>
      <c r="L15" s="1428"/>
      <c r="M15" s="1428"/>
      <c r="N15" s="1428"/>
      <c r="O15" s="1428"/>
      <c r="P15" s="1428"/>
      <c r="Q15" s="1428"/>
      <c r="R15" s="1428"/>
      <c r="S15" s="1428"/>
      <c r="T15" s="1428"/>
      <c r="U15" s="1428"/>
      <c r="V15" s="1428"/>
      <c r="W15" s="1391" t="s">
        <v>281</v>
      </c>
      <c r="X15" s="1391"/>
      <c r="Y15" s="1391"/>
      <c r="Z15" s="1391"/>
      <c r="AA15" s="1391"/>
      <c r="AB15" s="1391"/>
      <c r="AC15" s="1391"/>
      <c r="AD15" s="1391"/>
      <c r="AE15" s="1391"/>
      <c r="AF15" s="1391"/>
      <c r="AG15" s="1391"/>
    </row>
    <row r="16" spans="2:33" x14ac:dyDescent="0.25">
      <c r="B16" s="1364"/>
      <c r="C16" s="1365"/>
      <c r="D16" s="195">
        <v>2018</v>
      </c>
      <c r="E16" s="1359">
        <v>2019</v>
      </c>
      <c r="F16" s="1360"/>
      <c r="G16" s="1360"/>
      <c r="H16" s="1361"/>
      <c r="I16" s="1359">
        <v>2020</v>
      </c>
      <c r="J16" s="1360"/>
      <c r="K16" s="1360"/>
      <c r="L16" s="1360"/>
      <c r="M16" s="1359">
        <v>2021</v>
      </c>
      <c r="N16" s="1360"/>
      <c r="O16" s="1360"/>
      <c r="P16" s="1360"/>
      <c r="Q16" s="1388">
        <v>2022</v>
      </c>
      <c r="R16" s="1451"/>
      <c r="S16" s="270"/>
      <c r="T16" s="279"/>
      <c r="U16" s="221"/>
      <c r="V16" s="270">
        <v>2023</v>
      </c>
      <c r="W16" s="552"/>
      <c r="X16" s="552"/>
      <c r="Y16" s="1368">
        <v>2024</v>
      </c>
      <c r="Z16" s="1381"/>
      <c r="AA16" s="1381"/>
      <c r="AB16" s="1370"/>
      <c r="AC16" s="1368">
        <v>2025</v>
      </c>
      <c r="AD16" s="1381"/>
      <c r="AE16" s="1381"/>
      <c r="AF16" s="1370"/>
      <c r="AG16" s="498">
        <v>2026</v>
      </c>
    </row>
    <row r="17" spans="2:33" x14ac:dyDescent="0.25">
      <c r="B17" s="1366"/>
      <c r="C17" s="1367"/>
      <c r="D17" s="195" t="s">
        <v>282</v>
      </c>
      <c r="E17" s="195" t="s">
        <v>283</v>
      </c>
      <c r="F17" s="196" t="s">
        <v>284</v>
      </c>
      <c r="G17" s="196" t="s">
        <v>238</v>
      </c>
      <c r="H17" s="197" t="s">
        <v>282</v>
      </c>
      <c r="I17" s="196" t="s">
        <v>283</v>
      </c>
      <c r="J17" s="196" t="s">
        <v>284</v>
      </c>
      <c r="K17" s="196" t="s">
        <v>238</v>
      </c>
      <c r="L17" s="196" t="s">
        <v>282</v>
      </c>
      <c r="M17" s="195" t="s">
        <v>283</v>
      </c>
      <c r="N17" s="196" t="s">
        <v>284</v>
      </c>
      <c r="O17" s="196" t="s">
        <v>238</v>
      </c>
      <c r="P17" s="196" t="s">
        <v>282</v>
      </c>
      <c r="Q17" s="267" t="s">
        <v>283</v>
      </c>
      <c r="R17" s="268" t="s">
        <v>284</v>
      </c>
      <c r="S17" s="268" t="s">
        <v>238</v>
      </c>
      <c r="T17" s="266" t="s">
        <v>282</v>
      </c>
      <c r="U17" s="267" t="s">
        <v>283</v>
      </c>
      <c r="V17" s="268" t="s">
        <v>284</v>
      </c>
      <c r="W17" s="252" t="s">
        <v>238</v>
      </c>
      <c r="X17" s="252" t="s">
        <v>282</v>
      </c>
      <c r="Y17" s="251" t="s">
        <v>283</v>
      </c>
      <c r="Z17" s="249" t="s">
        <v>284</v>
      </c>
      <c r="AA17" s="252" t="s">
        <v>238</v>
      </c>
      <c r="AB17" s="253" t="s">
        <v>282</v>
      </c>
      <c r="AC17" s="251" t="s">
        <v>283</v>
      </c>
      <c r="AD17" s="249" t="s">
        <v>284</v>
      </c>
      <c r="AE17" s="252" t="s">
        <v>238</v>
      </c>
      <c r="AF17" s="252" t="s">
        <v>282</v>
      </c>
      <c r="AG17" s="251" t="s">
        <v>283</v>
      </c>
    </row>
    <row r="18" spans="2:33" x14ac:dyDescent="0.25">
      <c r="B18" s="72" t="s">
        <v>1387</v>
      </c>
      <c r="C18" s="642"/>
      <c r="D18" s="643"/>
      <c r="E18" s="642"/>
      <c r="F18" s="642"/>
      <c r="G18" s="642"/>
      <c r="H18" s="642"/>
      <c r="I18" s="642"/>
      <c r="J18" s="644"/>
      <c r="K18" s="644"/>
      <c r="L18" s="644"/>
      <c r="M18" s="644"/>
      <c r="N18" s="644"/>
      <c r="O18" s="644"/>
      <c r="P18" s="644"/>
      <c r="Q18" s="644"/>
      <c r="R18" s="645">
        <v>0</v>
      </c>
      <c r="S18" s="639">
        <v>0</v>
      </c>
      <c r="T18" s="641">
        <v>0</v>
      </c>
      <c r="U18" s="641">
        <v>-7.7999999999999999E-4</v>
      </c>
      <c r="V18" s="641">
        <v>-7.7999999999999999E-4</v>
      </c>
      <c r="W18" s="641">
        <v>-7.7999999999999999E-4</v>
      </c>
      <c r="X18" s="641">
        <v>-7.7999999999999999E-4</v>
      </c>
      <c r="Y18" s="641">
        <v>-9.5E-4</v>
      </c>
      <c r="Z18" s="641">
        <v>-9.5E-4</v>
      </c>
      <c r="AA18" s="641">
        <v>-9.5E-4</v>
      </c>
      <c r="AB18" s="641">
        <v>-9.5E-4</v>
      </c>
      <c r="AC18" s="641">
        <v>-9.3999999999999997E-4</v>
      </c>
      <c r="AD18" s="641">
        <v>-9.3999999999999997E-4</v>
      </c>
      <c r="AE18" s="641">
        <v>-9.3999999999999997E-4</v>
      </c>
      <c r="AF18" s="641">
        <v>-9.3999999999999997E-4</v>
      </c>
      <c r="AG18" s="639">
        <v>-9.3999999999999997E-4</v>
      </c>
    </row>
    <row r="19" spans="2:33" x14ac:dyDescent="0.25">
      <c r="B19" s="35" t="s">
        <v>1386</v>
      </c>
      <c r="C19" s="646"/>
      <c r="D19" s="647"/>
      <c r="E19" s="646"/>
      <c r="F19" s="646"/>
      <c r="G19" s="646"/>
      <c r="H19" s="646"/>
      <c r="I19" s="646"/>
      <c r="J19" s="648"/>
      <c r="K19" s="648"/>
      <c r="L19" s="648"/>
      <c r="M19" s="648"/>
      <c r="N19" s="648"/>
      <c r="O19" s="648"/>
      <c r="P19" s="648"/>
      <c r="Q19" s="648"/>
      <c r="R19" s="640"/>
      <c r="S19" s="640"/>
      <c r="T19" s="640"/>
      <c r="U19" s="640">
        <v>26095</v>
      </c>
      <c r="V19" s="640">
        <v>26404</v>
      </c>
      <c r="W19" s="640">
        <v>26686</v>
      </c>
      <c r="X19" s="640">
        <v>26931</v>
      </c>
      <c r="Y19" s="640">
        <v>27174</v>
      </c>
      <c r="Z19" s="640">
        <v>27411</v>
      </c>
      <c r="AA19" s="640">
        <v>27647</v>
      </c>
      <c r="AB19" s="640">
        <v>27893</v>
      </c>
      <c r="AC19" s="640">
        <v>28143</v>
      </c>
      <c r="AD19" s="640">
        <v>28400</v>
      </c>
      <c r="AE19" s="640">
        <v>28649</v>
      </c>
      <c r="AF19" s="640">
        <v>28910</v>
      </c>
      <c r="AG19" s="640">
        <v>28910</v>
      </c>
    </row>
    <row r="20" spans="2:33" x14ac:dyDescent="0.25">
      <c r="B20" s="35" t="s">
        <v>312</v>
      </c>
      <c r="C20" s="649"/>
      <c r="D20" s="650"/>
      <c r="E20" s="649"/>
      <c r="F20" s="649"/>
      <c r="G20" s="649"/>
      <c r="H20" s="649"/>
      <c r="I20" s="649"/>
      <c r="J20" s="651"/>
      <c r="K20" s="651"/>
      <c r="L20" s="651"/>
      <c r="M20" s="651"/>
      <c r="N20" s="651"/>
      <c r="O20" s="651"/>
      <c r="P20" s="651"/>
      <c r="Q20" s="651"/>
      <c r="R20" s="652">
        <f>R18*R19</f>
        <v>0</v>
      </c>
      <c r="S20" s="652">
        <f t="shared" ref="S20:T20" si="1">S18*S19</f>
        <v>0</v>
      </c>
      <c r="T20" s="652">
        <f t="shared" si="1"/>
        <v>0</v>
      </c>
      <c r="U20" s="653">
        <f>U18*U19*-1</f>
        <v>20.354099999999999</v>
      </c>
      <c r="V20" s="653">
        <f t="shared" ref="V20:AF20" si="2">V18*V19*-1</f>
        <v>20.595119999999998</v>
      </c>
      <c r="W20" s="653">
        <f t="shared" si="2"/>
        <v>20.815079999999998</v>
      </c>
      <c r="X20" s="653">
        <f t="shared" si="2"/>
        <v>21.006180000000001</v>
      </c>
      <c r="Y20" s="653">
        <f t="shared" si="2"/>
        <v>25.815300000000001</v>
      </c>
      <c r="Z20" s="653">
        <f t="shared" si="2"/>
        <v>26.04045</v>
      </c>
      <c r="AA20" s="653">
        <f t="shared" si="2"/>
        <v>26.26465</v>
      </c>
      <c r="AB20" s="653">
        <f t="shared" si="2"/>
        <v>26.498349999999999</v>
      </c>
      <c r="AC20" s="653">
        <f t="shared" si="2"/>
        <v>26.454419999999999</v>
      </c>
      <c r="AD20" s="653">
        <f t="shared" si="2"/>
        <v>26.695999999999998</v>
      </c>
      <c r="AE20" s="653">
        <f t="shared" si="2"/>
        <v>26.930059999999997</v>
      </c>
      <c r="AF20" s="653">
        <f t="shared" si="2"/>
        <v>27.1754</v>
      </c>
      <c r="AG20" s="653">
        <f t="shared" ref="AG20" si="3">AG18*AG19*-1</f>
        <v>27.1754</v>
      </c>
    </row>
    <row r="23" spans="2:33" x14ac:dyDescent="0.25">
      <c r="C23" t="s">
        <v>1853</v>
      </c>
      <c r="F23" s="633" t="s">
        <v>1852</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Q26" activePane="bottomRight" state="frozen"/>
      <selection pane="topRight" activeCell="C1" sqref="C1"/>
      <selection pane="bottomLeft" activeCell="A12" sqref="A12"/>
      <selection pane="bottomRight" activeCell="X39" sqref="X39"/>
    </sheetView>
  </sheetViews>
  <sheetFormatPr defaultColWidth="10.85546875" defaultRowHeight="15" outlineLevelRow="1" x14ac:dyDescent="0.25"/>
  <cols>
    <col min="2" max="2" width="71.140625" customWidth="1"/>
    <col min="6" max="6" width="12.140625" customWidth="1"/>
    <col min="7" max="7" width="10.42578125" customWidth="1"/>
    <col min="9" max="9" width="12" customWidth="1"/>
  </cols>
  <sheetData>
    <row r="1" spans="2:33" ht="18" customHeight="1" x14ac:dyDescent="0.25">
      <c r="B1" s="1460" t="s">
        <v>465</v>
      </c>
      <c r="C1" s="1460"/>
      <c r="D1" s="1460"/>
      <c r="E1" s="1460"/>
      <c r="F1" s="1460"/>
      <c r="G1" s="1460"/>
      <c r="H1" s="1460"/>
      <c r="I1" s="1460"/>
      <c r="J1" s="1460"/>
      <c r="K1" s="1460"/>
      <c r="L1" s="1460"/>
      <c r="M1" s="1460"/>
      <c r="N1" s="1460"/>
      <c r="O1" s="1460"/>
      <c r="P1" s="1460"/>
      <c r="Q1" s="1460"/>
      <c r="R1" s="1460"/>
      <c r="S1" s="1460"/>
      <c r="T1" s="1460"/>
      <c r="U1" s="1460"/>
      <c r="V1" s="1460"/>
      <c r="W1" s="1460"/>
      <c r="X1" s="1460"/>
      <c r="Y1" s="1460"/>
      <c r="Z1" s="1460"/>
      <c r="AA1" s="1460"/>
      <c r="AB1" s="1460"/>
      <c r="AC1" s="1460"/>
    </row>
    <row r="2" spans="2:33" ht="34.5" hidden="1" customHeight="1" outlineLevel="1" x14ac:dyDescent="0.25">
      <c r="B2" s="1358" t="s">
        <v>864</v>
      </c>
      <c r="C2" s="1396"/>
      <c r="D2" s="1396"/>
      <c r="E2" s="1396"/>
      <c r="F2" s="1396"/>
      <c r="G2" s="1396"/>
      <c r="H2" s="1396"/>
      <c r="I2" s="1396"/>
      <c r="J2" s="1396"/>
      <c r="K2" s="1396"/>
      <c r="L2" s="1396"/>
      <c r="M2" s="1396"/>
      <c r="N2" s="1396"/>
      <c r="O2" s="1396"/>
      <c r="P2" s="1396"/>
      <c r="Q2" s="1396"/>
      <c r="R2" s="1396"/>
      <c r="S2" s="1396"/>
      <c r="T2" s="1396"/>
      <c r="U2" s="1396"/>
      <c r="V2" s="1396"/>
      <c r="W2" s="1396"/>
      <c r="X2" s="1396"/>
      <c r="Y2" s="1396"/>
      <c r="Z2" s="1396"/>
      <c r="AA2" s="1396"/>
      <c r="AB2" s="1396"/>
      <c r="AC2" s="1396"/>
    </row>
    <row r="3" spans="2:33" ht="3" hidden="1" customHeight="1" outlineLevel="1" x14ac:dyDescent="0.25">
      <c r="B3" s="1396"/>
      <c r="C3" s="1396"/>
      <c r="D3" s="1396"/>
      <c r="E3" s="1396"/>
      <c r="F3" s="1396"/>
      <c r="G3" s="1396"/>
      <c r="H3" s="1396"/>
      <c r="I3" s="1396"/>
      <c r="J3" s="1396"/>
      <c r="K3" s="1396"/>
      <c r="L3" s="1396"/>
      <c r="M3" s="1396"/>
      <c r="N3" s="1396"/>
      <c r="O3" s="1396"/>
      <c r="P3" s="1396"/>
      <c r="Q3" s="1396"/>
      <c r="R3" s="1396"/>
      <c r="S3" s="1396"/>
      <c r="T3" s="1396"/>
      <c r="U3" s="1396"/>
      <c r="V3" s="1396"/>
      <c r="W3" s="1396"/>
      <c r="X3" s="1396"/>
      <c r="Y3" s="1396"/>
      <c r="Z3" s="1396"/>
      <c r="AA3" s="1396"/>
      <c r="AB3" s="1396"/>
      <c r="AC3" s="1396"/>
    </row>
    <row r="4" spans="2:33" ht="10.35" hidden="1" customHeight="1" outlineLevel="1" x14ac:dyDescent="0.25">
      <c r="B4" s="1396"/>
      <c r="C4" s="1396"/>
      <c r="D4" s="1396"/>
      <c r="E4" s="1396"/>
      <c r="F4" s="1396"/>
      <c r="G4" s="1396"/>
      <c r="H4" s="1396"/>
      <c r="I4" s="1396"/>
      <c r="J4" s="1396"/>
      <c r="K4" s="1396"/>
      <c r="L4" s="1396"/>
      <c r="M4" s="1396"/>
      <c r="N4" s="1396"/>
      <c r="O4" s="1396"/>
      <c r="P4" s="1396"/>
      <c r="Q4" s="1396"/>
      <c r="R4" s="1396"/>
      <c r="S4" s="1396"/>
      <c r="T4" s="1396"/>
      <c r="U4" s="1396"/>
      <c r="V4" s="1396"/>
      <c r="W4" s="1396"/>
      <c r="X4" s="1396"/>
      <c r="Y4" s="1396"/>
      <c r="Z4" s="1396"/>
      <c r="AA4" s="1396"/>
      <c r="AB4" s="1396"/>
      <c r="AC4" s="1396"/>
    </row>
    <row r="5" spans="2:33" ht="14.25" hidden="1" customHeight="1" outlineLevel="1" x14ac:dyDescent="0.25">
      <c r="B5" s="1396"/>
      <c r="C5" s="1396"/>
      <c r="D5" s="1396"/>
      <c r="E5" s="1396"/>
      <c r="F5" s="1396"/>
      <c r="G5" s="1396"/>
      <c r="H5" s="1396"/>
      <c r="I5" s="1396"/>
      <c r="J5" s="1396"/>
      <c r="K5" s="1396"/>
      <c r="L5" s="1396"/>
      <c r="M5" s="1396"/>
      <c r="N5" s="1396"/>
      <c r="O5" s="1396"/>
      <c r="P5" s="1396"/>
      <c r="Q5" s="1396"/>
      <c r="R5" s="1396"/>
      <c r="S5" s="1396"/>
      <c r="T5" s="1396"/>
      <c r="U5" s="1396"/>
      <c r="V5" s="1396"/>
      <c r="W5" s="1396"/>
      <c r="X5" s="1396"/>
      <c r="Y5" s="1396"/>
      <c r="Z5" s="1396"/>
      <c r="AA5" s="1396"/>
      <c r="AB5" s="1396"/>
      <c r="AC5" s="1396"/>
    </row>
    <row r="6" spans="2:33" ht="14.25" hidden="1" customHeight="1" outlineLevel="1" x14ac:dyDescent="0.25">
      <c r="B6" s="1396"/>
      <c r="C6" s="1396"/>
      <c r="D6" s="1396"/>
      <c r="E6" s="1396"/>
      <c r="F6" s="1396"/>
      <c r="G6" s="1396"/>
      <c r="H6" s="1396"/>
      <c r="I6" s="1396"/>
      <c r="J6" s="1396"/>
      <c r="K6" s="1396"/>
      <c r="L6" s="1396"/>
      <c r="M6" s="1396"/>
      <c r="N6" s="1396"/>
      <c r="O6" s="1396"/>
      <c r="P6" s="1396"/>
      <c r="Q6" s="1396"/>
      <c r="R6" s="1396"/>
      <c r="S6" s="1396"/>
      <c r="T6" s="1396"/>
      <c r="U6" s="1396"/>
      <c r="V6" s="1396"/>
      <c r="W6" s="1396"/>
      <c r="X6" s="1396"/>
      <c r="Y6" s="1396"/>
      <c r="Z6" s="1396"/>
      <c r="AA6" s="1396"/>
      <c r="AB6" s="1396"/>
      <c r="AC6" s="1396"/>
    </row>
    <row r="7" spans="2:33" x14ac:dyDescent="0.25">
      <c r="B7" s="731" t="s">
        <v>333</v>
      </c>
      <c r="C7" s="247"/>
      <c r="D7" s="247"/>
      <c r="E7" s="247"/>
      <c r="F7" s="247"/>
      <c r="G7" s="247"/>
      <c r="H7" s="248"/>
      <c r="I7" s="248"/>
      <c r="J7" s="248"/>
      <c r="K7" s="248"/>
      <c r="L7" s="248"/>
      <c r="M7" s="248"/>
      <c r="N7" s="248"/>
      <c r="O7" s="248"/>
      <c r="P7" s="248"/>
      <c r="Q7" s="248"/>
      <c r="R7" s="248"/>
      <c r="S7" s="248"/>
      <c r="T7" s="248"/>
      <c r="U7" s="248"/>
    </row>
    <row r="8" spans="2:33" ht="14.85" customHeight="1" x14ac:dyDescent="0.25">
      <c r="B8" s="691" t="s">
        <v>304</v>
      </c>
      <c r="C8" s="692"/>
      <c r="D8" s="695" t="s">
        <v>280</v>
      </c>
      <c r="E8" s="696"/>
      <c r="F8" s="696"/>
      <c r="G8" s="696"/>
      <c r="H8" s="696"/>
      <c r="I8" s="696"/>
      <c r="J8" s="696"/>
      <c r="K8" s="696"/>
      <c r="L8" s="696"/>
      <c r="M8" s="696"/>
      <c r="N8" s="696"/>
      <c r="O8" s="696"/>
      <c r="P8" s="1379"/>
      <c r="Q8" s="1379"/>
      <c r="R8" s="1379"/>
      <c r="S8" s="1379"/>
      <c r="T8" s="1379"/>
      <c r="U8" s="1379"/>
      <c r="V8" s="1367"/>
      <c r="W8" s="1392" t="s">
        <v>281</v>
      </c>
      <c r="X8" s="1393"/>
      <c r="Y8" s="1393"/>
      <c r="Z8" s="1393"/>
      <c r="AA8" s="1393"/>
      <c r="AB8" s="1393"/>
      <c r="AC8" s="1393"/>
      <c r="AD8" s="1393"/>
      <c r="AE8" s="1393"/>
      <c r="AF8" s="1393"/>
      <c r="AG8" s="1393"/>
    </row>
    <row r="9" spans="2:33" ht="14.85" customHeight="1" x14ac:dyDescent="0.25">
      <c r="B9" s="693"/>
      <c r="C9" s="694"/>
      <c r="D9" s="200">
        <v>2018</v>
      </c>
      <c r="E9" s="1371">
        <v>2019</v>
      </c>
      <c r="F9" s="1372"/>
      <c r="G9" s="1372"/>
      <c r="H9" s="1373"/>
      <c r="I9" s="1371">
        <v>2020</v>
      </c>
      <c r="J9" s="1372"/>
      <c r="K9" s="1372"/>
      <c r="L9" s="1372"/>
      <c r="M9" s="1371">
        <v>2021</v>
      </c>
      <c r="N9" s="1372"/>
      <c r="O9" s="1372"/>
      <c r="P9" s="1372"/>
      <c r="Q9" s="1371">
        <v>2022</v>
      </c>
      <c r="R9" s="1403"/>
      <c r="S9" s="1403"/>
      <c r="T9" s="1373"/>
      <c r="U9" s="270"/>
      <c r="V9" s="270">
        <v>2023</v>
      </c>
      <c r="W9" s="552"/>
      <c r="X9" s="242"/>
      <c r="Y9" s="1368">
        <v>2024</v>
      </c>
      <c r="Z9" s="1381"/>
      <c r="AA9" s="1381"/>
      <c r="AB9" s="1370"/>
      <c r="AC9" s="1368">
        <v>2025</v>
      </c>
      <c r="AD9" s="1381"/>
      <c r="AE9" s="1381"/>
      <c r="AF9" s="1369"/>
      <c r="AG9" s="312">
        <v>2026</v>
      </c>
    </row>
    <row r="10" spans="2:33" x14ac:dyDescent="0.25">
      <c r="B10" s="693"/>
      <c r="C10" s="694"/>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7" t="s">
        <v>282</v>
      </c>
      <c r="U10" s="196" t="s">
        <v>283</v>
      </c>
      <c r="V10" s="268" t="s">
        <v>284</v>
      </c>
      <c r="W10" s="252" t="s">
        <v>238</v>
      </c>
      <c r="X10" s="253" t="s">
        <v>282</v>
      </c>
      <c r="Y10" s="251" t="s">
        <v>283</v>
      </c>
      <c r="Z10" s="249" t="s">
        <v>284</v>
      </c>
      <c r="AA10" s="252" t="s">
        <v>238</v>
      </c>
      <c r="AB10" s="252" t="s">
        <v>282</v>
      </c>
      <c r="AC10" s="251" t="s">
        <v>283</v>
      </c>
      <c r="AD10" s="249" t="s">
        <v>284</v>
      </c>
      <c r="AE10" s="252" t="s">
        <v>238</v>
      </c>
      <c r="AF10" s="252" t="s">
        <v>282</v>
      </c>
      <c r="AG10" s="312" t="s">
        <v>283</v>
      </c>
    </row>
    <row r="11" spans="2:33" x14ac:dyDescent="0.25">
      <c r="B11" s="1453" t="s">
        <v>466</v>
      </c>
      <c r="C11" s="1454"/>
      <c r="D11" s="660"/>
      <c r="E11" s="724"/>
      <c r="F11" s="724"/>
      <c r="G11" s="724"/>
      <c r="H11" s="291"/>
      <c r="I11" s="291"/>
      <c r="J11" s="291"/>
      <c r="K11" s="291"/>
      <c r="L11" s="291"/>
      <c r="M11" s="571"/>
      <c r="N11" s="571"/>
      <c r="O11" s="571"/>
      <c r="P11" s="291"/>
      <c r="Q11" s="291"/>
      <c r="R11" s="291"/>
      <c r="S11" s="291"/>
      <c r="T11" s="269"/>
      <c r="U11" s="291"/>
      <c r="V11" s="291"/>
      <c r="W11" s="198"/>
      <c r="X11" s="198"/>
      <c r="Y11" s="198"/>
      <c r="Z11" s="198"/>
      <c r="AA11" s="198"/>
      <c r="AB11" s="198"/>
      <c r="AC11" s="199"/>
    </row>
    <row r="12" spans="2:33" ht="17.100000000000001" customHeight="1" x14ac:dyDescent="0.25">
      <c r="B12" s="673" t="s">
        <v>467</v>
      </c>
      <c r="C12" s="222" t="s">
        <v>468</v>
      </c>
      <c r="D12" s="591">
        <f>'Haver Pivoted'!GO31</f>
        <v>2223</v>
      </c>
      <c r="E12" s="551">
        <f>'Haver Pivoted'!GP31</f>
        <v>2303.6</v>
      </c>
      <c r="F12" s="551">
        <f>'Haver Pivoted'!GQ31</f>
        <v>2320.1</v>
      </c>
      <c r="G12" s="551">
        <f>'Haver Pivoted'!GR31</f>
        <v>2332.9</v>
      </c>
      <c r="H12" s="551">
        <f>'Haver Pivoted'!GS31</f>
        <v>2346.6</v>
      </c>
      <c r="I12" s="551">
        <f>'Haver Pivoted'!GT31</f>
        <v>2412.6</v>
      </c>
      <c r="J12" s="551">
        <f>'Haver Pivoted'!GU31</f>
        <v>4652.1000000000004</v>
      </c>
      <c r="K12" s="551">
        <f>'Haver Pivoted'!GV31</f>
        <v>3508</v>
      </c>
      <c r="L12" s="551">
        <f>'Haver Pivoted'!GW31</f>
        <v>2895.4</v>
      </c>
      <c r="M12" s="551">
        <f>'Haver Pivoted'!GX31</f>
        <v>5127.3999999999996</v>
      </c>
      <c r="N12" s="551">
        <f>'Haver Pivoted'!GY31</f>
        <v>3403.8</v>
      </c>
      <c r="O12" s="551">
        <f>'Haver Pivoted'!GZ31</f>
        <v>3135</v>
      </c>
      <c r="P12" s="551">
        <f>'Haver Pivoted'!HA31</f>
        <v>2947.7</v>
      </c>
      <c r="Q12" s="551">
        <f>'Haver Pivoted'!HB31</f>
        <v>2903.2</v>
      </c>
      <c r="R12" s="551">
        <f>'Haver Pivoted'!HC31</f>
        <v>2895.2</v>
      </c>
      <c r="S12" s="554">
        <f>'Haver Pivoted'!HD31</f>
        <v>2867.4</v>
      </c>
      <c r="T12" s="554">
        <f>'Haver Pivoted'!HE31</f>
        <v>2896.7</v>
      </c>
      <c r="U12" s="554">
        <f>'Haver Pivoted'!HF31</f>
        <v>2945.8</v>
      </c>
      <c r="V12" s="554">
        <f>'Haver Pivoted'!HG31</f>
        <v>2929.7</v>
      </c>
      <c r="W12" s="554">
        <f>'Haver Pivoted'!HH31</f>
        <v>2930.1</v>
      </c>
      <c r="X12" s="554">
        <f>'Haver Pivoted'!HI31</f>
        <v>2934</v>
      </c>
      <c r="Y12" s="675">
        <f t="shared" ref="Y12:AC12" si="0">SUM(Y14:Y31)-Y30</f>
        <v>2980.4670688836054</v>
      </c>
      <c r="Z12" s="675">
        <f t="shared" si="0"/>
        <v>3010.904640066226</v>
      </c>
      <c r="AA12" s="675">
        <f t="shared" si="0"/>
        <v>3041.0720285414413</v>
      </c>
      <c r="AB12" s="675">
        <f t="shared" si="0"/>
        <v>3062.3906041934661</v>
      </c>
      <c r="AC12" s="723">
        <f t="shared" si="0"/>
        <v>3120.0918346300236</v>
      </c>
    </row>
    <row r="13" spans="2:33" x14ac:dyDescent="0.25">
      <c r="B13" s="454"/>
      <c r="C13" s="222"/>
      <c r="D13" s="591"/>
      <c r="E13" s="551"/>
      <c r="F13" s="551"/>
      <c r="G13" s="551"/>
      <c r="H13" s="551"/>
      <c r="I13" s="551"/>
      <c r="J13" s="551"/>
      <c r="K13" s="551"/>
      <c r="L13" s="551"/>
      <c r="M13" s="551"/>
      <c r="N13" s="551"/>
      <c r="O13" s="551"/>
      <c r="P13" s="222"/>
      <c r="Q13" s="216"/>
      <c r="R13" s="216"/>
      <c r="S13" s="216"/>
      <c r="T13" s="216"/>
      <c r="U13" s="216"/>
      <c r="V13" s="216"/>
      <c r="W13" s="216"/>
      <c r="X13" s="312"/>
      <c r="Y13" s="312"/>
      <c r="Z13" s="312"/>
      <c r="AA13" s="312"/>
      <c r="AB13" s="312"/>
      <c r="AC13" s="420"/>
    </row>
    <row r="14" spans="2:33" x14ac:dyDescent="0.25">
      <c r="B14" s="669" t="s">
        <v>1854</v>
      </c>
      <c r="C14" s="222"/>
      <c r="D14" s="591">
        <f>'Unemployment Insurance'!D20+'Unemployment Insurance'!D19</f>
        <v>27.1</v>
      </c>
      <c r="E14" s="551">
        <f>'Unemployment Insurance'!E20+'Unemployment Insurance'!E19</f>
        <v>30.5</v>
      </c>
      <c r="F14" s="551">
        <f>'Unemployment Insurance'!F20+'Unemployment Insurance'!F19</f>
        <v>27.7</v>
      </c>
      <c r="G14" s="551">
        <f>'Unemployment Insurance'!G20+'Unemployment Insurance'!G19</f>
        <v>25</v>
      </c>
      <c r="H14" s="551">
        <f>'Unemployment Insurance'!H20+'Unemployment Insurance'!H19</f>
        <v>26.7</v>
      </c>
      <c r="I14" s="551">
        <f>'Unemployment Insurance'!I20+'Unemployment Insurance'!I19</f>
        <v>40.9</v>
      </c>
      <c r="J14" s="551">
        <f>'Unemployment Insurance'!J20+'Unemployment Insurance'!J19</f>
        <v>951.4</v>
      </c>
      <c r="K14" s="551">
        <f>'Unemployment Insurance'!K20+'Unemployment Insurance'!K19</f>
        <v>802.3</v>
      </c>
      <c r="L14" s="551">
        <f>'Unemployment Insurance'!L20+'Unemployment Insurance'!L19</f>
        <v>323.5</v>
      </c>
      <c r="M14" s="551">
        <f>'Unemployment Insurance'!M20+'Unemployment Insurance'!M19</f>
        <v>583.5</v>
      </c>
      <c r="N14" s="551">
        <f>'Unemployment Insurance'!N20+'Unemployment Insurance'!N19</f>
        <v>451.8</v>
      </c>
      <c r="O14" s="551">
        <f>'Unemployment Insurance'!O20+'Unemployment Insurance'!O19</f>
        <v>226.8</v>
      </c>
      <c r="P14" s="551">
        <f>'Unemployment Insurance'!P20+'Unemployment Insurance'!P19</f>
        <v>33.9</v>
      </c>
      <c r="Q14" s="551">
        <f>'Unemployment Insurance'!Q20+'Unemployment Insurance'!Q19</f>
        <v>26.2</v>
      </c>
      <c r="R14" s="551">
        <f>'Unemployment Insurance'!R20+'Unemployment Insurance'!R19</f>
        <v>21.4</v>
      </c>
      <c r="S14" s="551">
        <f>'Unemployment Insurance'!S20+'Unemployment Insurance'!S19</f>
        <v>19.600000000000001</v>
      </c>
      <c r="T14" s="551">
        <f>'Unemployment Insurance'!T20+'Unemployment Insurance'!T19</f>
        <v>22.1</v>
      </c>
      <c r="U14" s="551">
        <f>'Unemployment Insurance'!U20+'Unemployment Insurance'!U19</f>
        <v>22</v>
      </c>
      <c r="V14" s="554">
        <f>V15+V16</f>
        <v>22.62857142857143</v>
      </c>
      <c r="W14" s="554">
        <f>W15+W16</f>
        <v>22.62857142857143</v>
      </c>
      <c r="X14" s="554">
        <f>X15+X16</f>
        <v>22.7</v>
      </c>
      <c r="Y14" s="675">
        <f>'Unemployment Insurance'!Y20+'Unemployment Insurance'!Y19</f>
        <v>23.25714285714286</v>
      </c>
      <c r="Z14" s="675">
        <f>'Unemployment Insurance'!Z20+'Unemployment Insurance'!Z19</f>
        <v>24.514285714285716</v>
      </c>
      <c r="AA14" s="675">
        <f>'Unemployment Insurance'!AA20+'Unemployment Insurance'!AA19</f>
        <v>24.985714285714291</v>
      </c>
      <c r="AB14" s="675">
        <f>'Unemployment Insurance'!AB20+'Unemployment Insurance'!AB19</f>
        <v>25.83428571428572</v>
      </c>
      <c r="AC14" s="723">
        <f>'Unemployment Insurance'!AC20+'Unemployment Insurance'!AC19</f>
        <v>26.689142857142865</v>
      </c>
    </row>
    <row r="15" spans="2:33" x14ac:dyDescent="0.25">
      <c r="B15" s="404" t="s">
        <v>203</v>
      </c>
      <c r="C15" s="222"/>
      <c r="D15" s="591"/>
      <c r="E15" s="551"/>
      <c r="F15" s="551"/>
      <c r="G15" s="551"/>
      <c r="H15" s="551"/>
      <c r="I15" s="551"/>
      <c r="J15" s="551"/>
      <c r="K15" s="551"/>
      <c r="L15" s="551"/>
      <c r="M15" s="551"/>
      <c r="N15" s="551"/>
      <c r="O15" s="551"/>
      <c r="P15" s="551"/>
      <c r="Q15" s="551"/>
      <c r="R15" s="551"/>
      <c r="S15" s="551"/>
      <c r="T15" s="551"/>
      <c r="U15" s="551"/>
      <c r="V15" s="554">
        <f>'Unemployment Insurance'!V19</f>
        <v>0</v>
      </c>
      <c r="W15" s="554">
        <f>'Unemployment Insurance'!W19</f>
        <v>0</v>
      </c>
      <c r="X15" s="554">
        <f>'Unemployment Insurance'!X19</f>
        <v>0.28514285714285847</v>
      </c>
      <c r="Y15" s="675"/>
      <c r="Z15" s="675"/>
      <c r="AA15" s="675"/>
      <c r="AB15" s="675"/>
      <c r="AC15" s="723"/>
    </row>
    <row r="16" spans="2:33" x14ac:dyDescent="0.25">
      <c r="B16" s="404" t="s">
        <v>205</v>
      </c>
      <c r="C16" s="222"/>
      <c r="D16" s="591"/>
      <c r="E16" s="551"/>
      <c r="F16" s="551"/>
      <c r="G16" s="551"/>
      <c r="H16" s="551"/>
      <c r="I16" s="551"/>
      <c r="J16" s="551"/>
      <c r="K16" s="551"/>
      <c r="L16" s="551"/>
      <c r="M16" s="551"/>
      <c r="N16" s="551"/>
      <c r="O16" s="551"/>
      <c r="P16" s="551"/>
      <c r="Q16" s="551"/>
      <c r="R16" s="551"/>
      <c r="S16" s="551"/>
      <c r="T16" s="551"/>
      <c r="U16" s="551"/>
      <c r="V16" s="554">
        <f>'Unemployment Insurance'!V20</f>
        <v>22.62857142857143</v>
      </c>
      <c r="W16" s="554">
        <f>'Unemployment Insurance'!W20</f>
        <v>22.62857142857143</v>
      </c>
      <c r="X16" s="554">
        <f>'Unemployment Insurance'!X20</f>
        <v>22.414857142857141</v>
      </c>
      <c r="Y16" s="675"/>
      <c r="Z16" s="675"/>
      <c r="AA16" s="675"/>
      <c r="AB16" s="675"/>
      <c r="AC16" s="723"/>
    </row>
    <row r="17" spans="2:101" ht="17.850000000000001" customHeight="1" x14ac:dyDescent="0.25">
      <c r="B17" s="669" t="s">
        <v>55</v>
      </c>
      <c r="C17" s="222"/>
      <c r="D17" s="591">
        <f>Medicare!D10</f>
        <v>755</v>
      </c>
      <c r="E17" s="551">
        <f>Medicare!E10</f>
        <v>771.9</v>
      </c>
      <c r="F17" s="551">
        <f>Medicare!F10</f>
        <v>785.3</v>
      </c>
      <c r="G17" s="551">
        <f>Medicare!G10</f>
        <v>793.9</v>
      </c>
      <c r="H17" s="551">
        <f>Medicare!H10</f>
        <v>797.9</v>
      </c>
      <c r="I17" s="551">
        <f>Medicare!I10</f>
        <v>798.4</v>
      </c>
      <c r="J17" s="551">
        <f>Medicare!J10</f>
        <v>811.1</v>
      </c>
      <c r="K17" s="551">
        <f>Medicare!K10</f>
        <v>823.1</v>
      </c>
      <c r="L17" s="551">
        <f>Medicare!L10</f>
        <v>834.5</v>
      </c>
      <c r="M17" s="551">
        <f>Medicare!M10</f>
        <v>849.4</v>
      </c>
      <c r="N17" s="551">
        <f>Medicare!N10</f>
        <v>865.6</v>
      </c>
      <c r="O17" s="551">
        <f>Medicare!O10</f>
        <v>882.6</v>
      </c>
      <c r="P17" s="551">
        <f>Medicare!P10</f>
        <v>900.3</v>
      </c>
      <c r="Q17" s="551">
        <f>Medicare!Q10</f>
        <v>918.2</v>
      </c>
      <c r="R17" s="551">
        <f>Medicare!R10</f>
        <v>924.7</v>
      </c>
      <c r="S17" s="551">
        <f>Medicare!S10</f>
        <v>927.2</v>
      </c>
      <c r="T17" s="551">
        <f>Medicare!T10</f>
        <v>934.2</v>
      </c>
      <c r="U17" s="551">
        <f>Medicare!U10</f>
        <v>938.1</v>
      </c>
      <c r="V17" s="551">
        <f>Medicare!V10</f>
        <v>941.9</v>
      </c>
      <c r="W17" s="551">
        <f>Medicare!W10</f>
        <v>946.3</v>
      </c>
      <c r="X17" s="675">
        <f>Medicare!X10</f>
        <v>951.3</v>
      </c>
      <c r="Y17" s="675">
        <f>Medicare!Y10</f>
        <v>960.04445976512864</v>
      </c>
      <c r="Z17" s="675">
        <f>Medicare!Z10</f>
        <v>982.29155475727316</v>
      </c>
      <c r="AA17" s="675">
        <f>Medicare!AA10</f>
        <v>1005.0541813277266</v>
      </c>
      <c r="AB17" s="675">
        <f>Medicare!AB10</f>
        <v>1020.2898522178465</v>
      </c>
      <c r="AC17" s="723">
        <f>Medicare!AC10</f>
        <v>1035.7564814699977</v>
      </c>
    </row>
    <row r="18" spans="2:101" ht="18" customHeight="1" x14ac:dyDescent="0.25">
      <c r="B18" s="670" t="s">
        <v>469</v>
      </c>
      <c r="C18" s="222"/>
      <c r="D18" s="257"/>
      <c r="E18" s="216"/>
      <c r="F18" s="216"/>
      <c r="G18" s="216"/>
      <c r="H18" s="551">
        <f>'Rebate Checks (expired)'!H10 +'Rebate Checks (expired)'!H11</f>
        <v>0</v>
      </c>
      <c r="I18" s="551">
        <f>'Rebate Checks (expired)'!I10 +'Rebate Checks (expired)'!I11</f>
        <v>0</v>
      </c>
      <c r="J18" s="551">
        <f>'Rebate Checks (expired)'!J10 +'Rebate Checks (expired)'!J11</f>
        <v>1078.0999999999999</v>
      </c>
      <c r="K18" s="551">
        <f>'Rebate Checks (expired)'!K10 +'Rebate Checks (expired)'!K11</f>
        <v>15.6</v>
      </c>
      <c r="L18" s="551">
        <f>'Rebate Checks (expired)'!L10 +'Rebate Checks (expired)'!L11</f>
        <v>5</v>
      </c>
      <c r="M18" s="551">
        <f>'Rebate Checks (expired)'!M10 +'Rebate Checks (expired)'!M11</f>
        <v>1933.6999999999998</v>
      </c>
      <c r="N18" s="551">
        <f>'Rebate Checks (expired)'!N10 +'Rebate Checks (expired)'!N11</f>
        <v>290.10000000000002</v>
      </c>
      <c r="O18" s="551">
        <f>'Rebate Checks (expired)'!O10 +'Rebate Checks (expired)'!O11</f>
        <v>38.9</v>
      </c>
      <c r="P18" s="551">
        <f>'Rebate Checks (expired)'!P10 +'Rebate Checks (expired)'!P11</f>
        <v>14.2</v>
      </c>
      <c r="Q18" s="551">
        <f>'Rebate Checks (expired)'!Q10 +'Rebate Checks (expired)'!Q11</f>
        <v>0</v>
      </c>
      <c r="R18" s="551">
        <f>'Rebate Checks (expired)'!Q10 +'Rebate Checks (expired)'!R11</f>
        <v>0</v>
      </c>
      <c r="S18" s="551">
        <f>'Rebate Checks (expired)'!S10 +'Rebate Checks (expired)'!S11</f>
        <v>0</v>
      </c>
      <c r="T18" s="551">
        <f>'Rebate Checks (expired)'!T10 +'Rebate Checks (expired)'!T11</f>
        <v>0</v>
      </c>
      <c r="U18" s="551">
        <f>'Rebate Checks (expired)'!U10 +'Rebate Checks (expired)'!U11</f>
        <v>0</v>
      </c>
      <c r="V18" s="554">
        <f>V19+V20</f>
        <v>0</v>
      </c>
      <c r="W18" s="554">
        <f>W19+W20</f>
        <v>0</v>
      </c>
      <c r="X18" s="554">
        <f>X19+X20</f>
        <v>0</v>
      </c>
      <c r="Y18" s="675">
        <f>'Rebate Checks (expired)'!Y10 +'Rebate Checks (expired)'!Y11</f>
        <v>0</v>
      </c>
      <c r="Z18" s="675">
        <f>'Rebate Checks (expired)'!Z10 +'Rebate Checks (expired)'!Z11</f>
        <v>0</v>
      </c>
      <c r="AA18" s="675">
        <f>'Rebate Checks (expired)'!AA10 +'Rebate Checks (expired)'!AA11</f>
        <v>0</v>
      </c>
      <c r="AB18" s="675">
        <f>'Rebate Checks (expired)'!AB10 +'Rebate Checks (expired)'!AB11</f>
        <v>0</v>
      </c>
      <c r="AC18" s="723">
        <f>'Rebate Checks (expired)'!AC10 +'Rebate Checks (expired)'!AC11</f>
        <v>0</v>
      </c>
    </row>
    <row r="19" spans="2:101" ht="18" customHeight="1" x14ac:dyDescent="0.25">
      <c r="B19" s="671" t="s">
        <v>1855</v>
      </c>
      <c r="C19" s="222"/>
      <c r="D19" s="257"/>
      <c r="E19" s="216"/>
      <c r="F19" s="216"/>
      <c r="G19" s="216"/>
      <c r="H19" s="551"/>
      <c r="I19" s="551"/>
      <c r="J19" s="551"/>
      <c r="K19" s="551"/>
      <c r="L19" s="551"/>
      <c r="M19" s="551"/>
      <c r="N19" s="551"/>
      <c r="O19" s="551"/>
      <c r="P19" s="551"/>
      <c r="Q19" s="551"/>
      <c r="R19" s="551"/>
      <c r="S19" s="551"/>
      <c r="T19" s="551"/>
      <c r="U19" s="551"/>
      <c r="V19" s="551">
        <v>0</v>
      </c>
      <c r="W19" s="551"/>
      <c r="X19" s="675"/>
      <c r="Y19" s="675"/>
      <c r="Z19" s="675"/>
      <c r="AA19" s="675"/>
      <c r="AB19" s="675"/>
      <c r="AC19" s="723"/>
    </row>
    <row r="20" spans="2:101" ht="18" customHeight="1" x14ac:dyDescent="0.25">
      <c r="B20" s="671" t="s">
        <v>1856</v>
      </c>
      <c r="C20" s="222"/>
      <c r="D20" s="257"/>
      <c r="E20" s="216"/>
      <c r="F20" s="216"/>
      <c r="G20" s="216"/>
      <c r="H20" s="551"/>
      <c r="I20" s="551"/>
      <c r="J20" s="551"/>
      <c r="K20" s="551"/>
      <c r="L20" s="551"/>
      <c r="M20" s="551"/>
      <c r="N20" s="551"/>
      <c r="O20" s="551"/>
      <c r="P20" s="551"/>
      <c r="Q20" s="551"/>
      <c r="R20" s="551"/>
      <c r="S20" s="551"/>
      <c r="T20" s="551"/>
      <c r="U20" s="551"/>
      <c r="V20" s="551">
        <v>0</v>
      </c>
      <c r="W20" s="551"/>
      <c r="X20" s="675"/>
      <c r="Y20" s="675"/>
      <c r="Z20" s="675"/>
      <c r="AA20" s="675"/>
      <c r="AB20" s="675"/>
      <c r="AC20" s="723"/>
    </row>
    <row r="21" spans="2:101" ht="18" customHeight="1" x14ac:dyDescent="0.25">
      <c r="B21" s="672" t="s">
        <v>49</v>
      </c>
      <c r="C21" s="222"/>
      <c r="D21" s="256">
        <f>'Provider Relief (expired)'!D11</f>
        <v>0</v>
      </c>
      <c r="E21" s="211">
        <f>'Provider Relief (expired)'!E11</f>
        <v>0</v>
      </c>
      <c r="F21" s="211">
        <f>'Provider Relief (expired)'!F11</f>
        <v>0</v>
      </c>
      <c r="G21" s="211">
        <f>'Provider Relief (expired)'!G11</f>
        <v>0</v>
      </c>
      <c r="H21" s="211">
        <f>'Provider Relief (expired)'!H11</f>
        <v>0</v>
      </c>
      <c r="I21" s="211">
        <f>'Provider Relief (expired)'!I11</f>
        <v>0</v>
      </c>
      <c r="J21" s="211">
        <f>'Provider Relief (expired)'!J11</f>
        <v>160.9</v>
      </c>
      <c r="K21" s="211">
        <f>'Provider Relief (expired)'!K11</f>
        <v>58.4</v>
      </c>
      <c r="L21" s="211">
        <f>'Provider Relief (expired)'!L11</f>
        <v>34.5</v>
      </c>
      <c r="M21" s="211">
        <f>'Provider Relief (expired)'!M11</f>
        <v>21.4</v>
      </c>
      <c r="N21" s="211">
        <f>'Provider Relief (expired)'!N11</f>
        <v>13.3</v>
      </c>
      <c r="O21" s="211">
        <f>'Provider Relief (expired)'!O11</f>
        <v>18.7</v>
      </c>
      <c r="P21" s="211">
        <f>'Provider Relief (expired)'!P11</f>
        <v>32.200000000000003</v>
      </c>
      <c r="Q21" s="211">
        <f>'Provider Relief (expired)'!Q11</f>
        <v>26.9</v>
      </c>
      <c r="R21" s="211">
        <f>'Provider Relief (expired)'!R11</f>
        <v>20</v>
      </c>
      <c r="S21" s="211">
        <f>'Provider Relief (expired)'!S11</f>
        <v>8.1</v>
      </c>
      <c r="T21" s="211">
        <f>'Provider Relief (expired)'!T11</f>
        <v>4.9000000000000004</v>
      </c>
      <c r="U21" s="211">
        <v>0</v>
      </c>
      <c r="V21" s="551">
        <v>0</v>
      </c>
      <c r="W21" s="551">
        <v>0</v>
      </c>
      <c r="X21" s="675">
        <v>0</v>
      </c>
      <c r="Y21" s="675">
        <v>0</v>
      </c>
      <c r="Z21" s="675">
        <v>0</v>
      </c>
      <c r="AA21" s="675">
        <v>0</v>
      </c>
      <c r="AB21" s="675">
        <v>0</v>
      </c>
      <c r="AC21" s="675">
        <v>0</v>
      </c>
      <c r="AD21" s="675">
        <v>0</v>
      </c>
      <c r="AE21" s="675">
        <v>0</v>
      </c>
      <c r="AF21" s="675">
        <v>0</v>
      </c>
      <c r="AG21" s="675">
        <v>0</v>
      </c>
    </row>
    <row r="22" spans="2:101" ht="18" customHeight="1" x14ac:dyDescent="0.25">
      <c r="B22" s="454" t="s">
        <v>1857</v>
      </c>
      <c r="C22" s="222"/>
      <c r="D22" s="256"/>
      <c r="E22" s="211"/>
      <c r="F22" s="211"/>
      <c r="G22" s="211"/>
      <c r="H22" s="211"/>
      <c r="I22" s="211"/>
      <c r="J22" s="211"/>
      <c r="K22" s="211"/>
      <c r="L22" s="211"/>
      <c r="M22" s="211"/>
      <c r="N22" s="211"/>
      <c r="O22" s="211"/>
      <c r="P22" s="211"/>
      <c r="Q22" s="211"/>
      <c r="R22" s="211"/>
      <c r="S22" s="211"/>
      <c r="T22" s="211"/>
      <c r="U22" s="211"/>
      <c r="V22" s="551"/>
      <c r="W22" s="551"/>
      <c r="X22" s="675"/>
      <c r="Y22" s="675"/>
      <c r="Z22" s="675"/>
      <c r="AA22" s="675"/>
      <c r="AB22" s="675"/>
      <c r="AC22" s="723"/>
    </row>
    <row r="23" spans="2:101" ht="18" customHeight="1" x14ac:dyDescent="0.25">
      <c r="B23" s="454" t="s">
        <v>1858</v>
      </c>
      <c r="C23" s="222"/>
      <c r="D23" s="256"/>
      <c r="E23" s="211"/>
      <c r="F23" s="211"/>
      <c r="G23" s="211"/>
      <c r="H23" s="211"/>
      <c r="I23" s="211"/>
      <c r="J23" s="211"/>
      <c r="K23" s="211"/>
      <c r="L23" s="211"/>
      <c r="M23" s="211"/>
      <c r="N23" s="211"/>
      <c r="O23" s="211"/>
      <c r="P23" s="211"/>
      <c r="Q23" s="211"/>
      <c r="R23" s="211"/>
      <c r="S23" s="211"/>
      <c r="T23" s="211"/>
      <c r="U23" s="211"/>
      <c r="V23" s="551"/>
      <c r="W23" s="551"/>
      <c r="X23" s="675"/>
      <c r="Y23" s="675"/>
      <c r="Z23" s="675"/>
      <c r="AA23" s="675"/>
      <c r="AB23" s="675"/>
      <c r="AC23" s="723"/>
    </row>
    <row r="24" spans="2:101" ht="20.100000000000001" customHeight="1" x14ac:dyDescent="0.25">
      <c r="B24" s="250" t="s">
        <v>472</v>
      </c>
      <c r="C24" s="245"/>
      <c r="D24" s="725"/>
      <c r="E24" s="635"/>
      <c r="F24" s="635"/>
      <c r="G24" s="635"/>
      <c r="H24" s="548"/>
      <c r="I24" s="548"/>
      <c r="J24" s="548"/>
      <c r="K24" s="548"/>
      <c r="L24" s="548"/>
      <c r="M24" s="548">
        <f>'ARP Quarterly'!C5</f>
        <v>0</v>
      </c>
      <c r="N24" s="548">
        <f>'ARP Quarterly'!D5</f>
        <v>33.921840000000024</v>
      </c>
      <c r="O24" s="548">
        <f>'ARP Quarterly'!E5</f>
        <v>44.966160000000031</v>
      </c>
      <c r="P24" s="548">
        <f>'ARP Quarterly'!F5</f>
        <v>52.756999999999998</v>
      </c>
      <c r="Q24" s="548">
        <f>'ARP Quarterly'!G5</f>
        <v>52.756999999999998</v>
      </c>
      <c r="R24" s="548">
        <f>'ARP Quarterly'!H5</f>
        <v>52.756999999999998</v>
      </c>
      <c r="S24" s="548">
        <f>'ARP Quarterly'!I5</f>
        <v>52.756999999999998</v>
      </c>
      <c r="T24" s="548">
        <v>30</v>
      </c>
      <c r="U24" s="548">
        <f>'ARP Quarterly'!K5</f>
        <v>12</v>
      </c>
      <c r="V24" s="548">
        <f>'ARP Quarterly'!L5</f>
        <v>12</v>
      </c>
      <c r="W24" s="548">
        <f>'ARP Quarterly'!M5</f>
        <v>12</v>
      </c>
      <c r="X24" s="553">
        <f>'ARP Quarterly'!N5</f>
        <v>4.2219999999999995</v>
      </c>
      <c r="Y24" s="553">
        <f>'ARP Quarterly'!O5</f>
        <v>4.2219999999999995</v>
      </c>
      <c r="Z24" s="553">
        <f>'ARP Quarterly'!P5</f>
        <v>4.2219999999999995</v>
      </c>
      <c r="AA24" s="553">
        <f>'ARP Quarterly'!Q5</f>
        <v>4.2219999999999995</v>
      </c>
      <c r="AB24" s="553">
        <f>'ARP Quarterly'!R5</f>
        <v>2.3719999999999999</v>
      </c>
      <c r="AC24" s="553">
        <f>'ARP Quarterly'!S5</f>
        <v>2.3719999999999999</v>
      </c>
      <c r="AD24" s="553">
        <f>'ARP Quarterly'!T5</f>
        <v>2.3719999999999999</v>
      </c>
      <c r="AE24" s="553">
        <f>'ARP Quarterly'!U5</f>
        <v>2.3719999999999999</v>
      </c>
      <c r="AF24" s="553">
        <f>'ARP Quarterly'!V5</f>
        <v>0.49</v>
      </c>
      <c r="AG24" s="496"/>
    </row>
    <row r="25" spans="2:101" ht="22.35" customHeight="1" x14ac:dyDescent="0.25">
      <c r="B25" s="230" t="s">
        <v>218</v>
      </c>
      <c r="C25" s="681"/>
      <c r="D25" s="256"/>
      <c r="E25" s="211"/>
      <c r="F25" s="211"/>
      <c r="G25" s="211"/>
      <c r="H25" s="211"/>
      <c r="I25" s="211"/>
      <c r="J25" s="211"/>
      <c r="K25" s="211"/>
      <c r="L25" s="211"/>
      <c r="M25" s="551">
        <f>'ARP Quarterly'!C4</f>
        <v>0</v>
      </c>
      <c r="N25" s="551">
        <f>'ARP Quarterly'!D4</f>
        <v>0</v>
      </c>
      <c r="O25" s="551">
        <f>'ARP Quarterly'!E4</f>
        <v>3.1040000000000418</v>
      </c>
      <c r="P25" s="551">
        <f>'ARP Quarterly'!F4</f>
        <v>19.719000000000005</v>
      </c>
      <c r="Q25" s="551">
        <f>'ARP Quarterly'!G4</f>
        <v>19.719000000000005</v>
      </c>
      <c r="R25" s="551">
        <f>'ARP Quarterly'!H4</f>
        <v>19.719000000000005</v>
      </c>
      <c r="S25" s="551">
        <f>'ARP Quarterly'!I4</f>
        <v>19.719000000000005</v>
      </c>
      <c r="T25" s="551">
        <f>'ARP Quarterly'!J4</f>
        <v>1.4159999999999999</v>
      </c>
      <c r="U25" s="551">
        <f>'ARP Quarterly'!K4</f>
        <v>1.4159999999999999</v>
      </c>
      <c r="V25" s="551">
        <f>'ARP Quarterly'!L4</f>
        <v>1.4159999999999999</v>
      </c>
      <c r="W25" s="551">
        <f>'ARP Quarterly'!M4</f>
        <v>1.4159999999999999</v>
      </c>
      <c r="X25" s="675">
        <f>'ARP Quarterly'!N4</f>
        <v>1.4790000000000001</v>
      </c>
      <c r="Y25" s="675">
        <f>'ARP Quarterly'!O4</f>
        <v>1.4790000000000001</v>
      </c>
      <c r="Z25" s="675">
        <f>'ARP Quarterly'!P4</f>
        <v>1.4790000000000001</v>
      </c>
      <c r="AA25" s="675">
        <f>'ARP Quarterly'!Q4</f>
        <v>1.4790000000000001</v>
      </c>
      <c r="AB25" s="675">
        <f>'ARP Quarterly'!R4</f>
        <v>1.63</v>
      </c>
      <c r="AC25" s="675">
        <f>'ARP Quarterly'!S4</f>
        <v>1.63</v>
      </c>
      <c r="AD25" s="675">
        <f>'ARP Quarterly'!T4</f>
        <v>1.63</v>
      </c>
      <c r="AE25" s="675">
        <f>'ARP Quarterly'!U4</f>
        <v>1.63</v>
      </c>
      <c r="AF25" s="675">
        <f>'ARP Quarterly'!V4</f>
        <v>1.671</v>
      </c>
      <c r="AG25" s="676"/>
      <c r="AH25" s="681"/>
      <c r="AI25" s="681"/>
      <c r="AJ25" s="681"/>
      <c r="AK25" s="681"/>
      <c r="AL25" s="681"/>
      <c r="AM25" s="681"/>
      <c r="AN25" s="681"/>
      <c r="AO25" s="681"/>
      <c r="AP25" s="681"/>
      <c r="AQ25" s="681"/>
      <c r="AR25" s="681"/>
      <c r="AS25" s="681"/>
      <c r="AT25" s="681"/>
      <c r="AU25" s="681"/>
      <c r="AV25" s="681"/>
      <c r="AW25" s="681"/>
      <c r="AX25" s="681"/>
      <c r="AY25" s="681"/>
      <c r="AZ25" s="681"/>
      <c r="BA25" s="681"/>
      <c r="BB25" s="681"/>
      <c r="BC25" s="681"/>
      <c r="BD25" s="681"/>
      <c r="BE25" s="681"/>
      <c r="BF25" s="681"/>
      <c r="BG25" s="681"/>
      <c r="BH25" s="681"/>
      <c r="BI25" s="681"/>
      <c r="BJ25" s="681"/>
      <c r="BK25" s="681"/>
      <c r="BL25" s="681"/>
      <c r="BM25" s="681"/>
      <c r="BN25" s="681"/>
      <c r="BO25" s="681"/>
      <c r="BP25" s="681"/>
      <c r="BQ25" s="681"/>
      <c r="BR25" s="681"/>
      <c r="BS25" s="681"/>
      <c r="BT25" s="681"/>
      <c r="BU25" s="681"/>
      <c r="BV25" s="681"/>
      <c r="BW25" s="681"/>
      <c r="BX25" s="681"/>
      <c r="BY25" s="681"/>
      <c r="BZ25" s="681"/>
      <c r="CA25" s="681"/>
      <c r="CB25" s="681"/>
      <c r="CC25" s="681"/>
      <c r="CD25" s="681"/>
      <c r="CE25" s="681"/>
      <c r="CF25" s="681"/>
      <c r="CG25" s="681"/>
      <c r="CH25" s="681"/>
      <c r="CI25" s="681"/>
      <c r="CJ25" s="681"/>
      <c r="CK25" s="681"/>
      <c r="CL25" s="681"/>
      <c r="CM25" s="681"/>
      <c r="CN25" s="681"/>
      <c r="CO25" s="681"/>
      <c r="CP25" s="681"/>
      <c r="CQ25" s="681"/>
      <c r="CR25" s="681"/>
      <c r="CS25" s="681"/>
      <c r="CT25" s="681"/>
      <c r="CU25" s="681"/>
      <c r="CV25" s="681"/>
      <c r="CW25" s="681"/>
    </row>
    <row r="26" spans="2:101" ht="36.6" customHeight="1" x14ac:dyDescent="0.25">
      <c r="B26" s="230" t="s">
        <v>1438</v>
      </c>
      <c r="C26" s="222"/>
      <c r="D26" s="257">
        <f>D77</f>
        <v>0</v>
      </c>
      <c r="E26" s="216">
        <f t="shared" ref="E26:AG26" si="1">E77</f>
        <v>0</v>
      </c>
      <c r="F26" s="216">
        <f t="shared" si="1"/>
        <v>0</v>
      </c>
      <c r="G26" s="216">
        <f t="shared" si="1"/>
        <v>0</v>
      </c>
      <c r="H26" s="216">
        <f t="shared" si="1"/>
        <v>0</v>
      </c>
      <c r="I26" s="551">
        <f t="shared" si="1"/>
        <v>6.6417500000000018</v>
      </c>
      <c r="J26" s="551">
        <f t="shared" si="1"/>
        <v>51.388749999999995</v>
      </c>
      <c r="K26" s="551">
        <f t="shared" si="1"/>
        <v>55.337750000000007</v>
      </c>
      <c r="L26" s="551">
        <f t="shared" si="1"/>
        <v>62.597749999999998</v>
      </c>
      <c r="M26" s="551">
        <f t="shared" si="1"/>
        <v>88.07774999999998</v>
      </c>
      <c r="N26" s="551">
        <f t="shared" si="1"/>
        <v>102.89075</v>
      </c>
      <c r="O26" s="551">
        <f t="shared" si="1"/>
        <v>94.404750000000007</v>
      </c>
      <c r="P26" s="551">
        <f t="shared" si="1"/>
        <v>91.919749999999993</v>
      </c>
      <c r="Q26" s="551">
        <f t="shared" si="1"/>
        <v>80.097749999999991</v>
      </c>
      <c r="R26" s="551">
        <f t="shared" si="1"/>
        <v>69.023750000000007</v>
      </c>
      <c r="S26" s="551">
        <f t="shared" si="1"/>
        <v>61.349750000000007</v>
      </c>
      <c r="T26" s="551">
        <f t="shared" si="1"/>
        <v>81.433750000000003</v>
      </c>
      <c r="U26" s="551">
        <f t="shared" si="1"/>
        <v>75.465749999999986</v>
      </c>
      <c r="V26" s="551">
        <f>V77</f>
        <v>48.418749999999996</v>
      </c>
      <c r="W26" s="551">
        <f>W77</f>
        <v>48.349750000000007</v>
      </c>
      <c r="X26" s="675">
        <f t="shared" si="1"/>
        <v>37.400749999999995</v>
      </c>
      <c r="Y26" s="675">
        <f t="shared" si="1"/>
        <v>37.400749999999995</v>
      </c>
      <c r="Z26" s="675">
        <f t="shared" si="1"/>
        <v>37.400749999999995</v>
      </c>
      <c r="AA26" s="675">
        <f t="shared" si="1"/>
        <v>37.400749999999995</v>
      </c>
      <c r="AB26" s="675">
        <f t="shared" si="1"/>
        <v>37.400749999999995</v>
      </c>
      <c r="AC26" s="675">
        <f t="shared" si="1"/>
        <v>37.400749999999995</v>
      </c>
      <c r="AD26" s="675">
        <f t="shared" si="1"/>
        <v>37.400749999999995</v>
      </c>
      <c r="AE26" s="675">
        <f t="shared" si="1"/>
        <v>37.400749999999995</v>
      </c>
      <c r="AF26" s="675">
        <f t="shared" si="1"/>
        <v>37.400749999999995</v>
      </c>
      <c r="AG26" s="675">
        <f t="shared" si="1"/>
        <v>37.400749999999995</v>
      </c>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222"/>
      <c r="BI26" s="222"/>
      <c r="BJ26" s="222"/>
      <c r="BK26" s="222"/>
      <c r="BL26" s="222"/>
      <c r="BM26" s="222"/>
      <c r="BN26" s="222"/>
      <c r="BO26" s="222"/>
      <c r="BP26" s="222"/>
      <c r="BQ26" s="222"/>
      <c r="BR26" s="222"/>
      <c r="BS26" s="222"/>
      <c r="BT26" s="222"/>
      <c r="BU26" s="222"/>
      <c r="BV26" s="222"/>
      <c r="BW26" s="222"/>
      <c r="BX26" s="222"/>
      <c r="BY26" s="222"/>
      <c r="BZ26" s="222"/>
      <c r="CA26" s="222"/>
      <c r="CB26" s="222"/>
      <c r="CC26" s="222"/>
      <c r="CD26" s="222"/>
      <c r="CE26" s="222"/>
      <c r="CF26" s="222"/>
      <c r="CG26" s="222"/>
      <c r="CH26" s="222"/>
      <c r="CI26" s="222"/>
      <c r="CJ26" s="222"/>
      <c r="CK26" s="222"/>
      <c r="CL26" s="222"/>
      <c r="CM26" s="222"/>
      <c r="CN26" s="222"/>
      <c r="CO26" s="222"/>
      <c r="CP26" s="222"/>
      <c r="CQ26" s="222"/>
      <c r="CR26" s="222"/>
      <c r="CS26" s="222"/>
      <c r="CT26" s="222"/>
      <c r="CU26" s="222"/>
      <c r="CV26" s="222"/>
    </row>
    <row r="27" spans="2:101" ht="15.6" customHeight="1" x14ac:dyDescent="0.25">
      <c r="B27" s="230" t="s">
        <v>801</v>
      </c>
      <c r="C27" s="222" t="s">
        <v>828</v>
      </c>
      <c r="D27" s="256">
        <v>30</v>
      </c>
      <c r="E27" s="211">
        <v>30</v>
      </c>
      <c r="F27" s="211">
        <v>30</v>
      </c>
      <c r="G27" s="211">
        <v>30</v>
      </c>
      <c r="H27" s="211">
        <v>30</v>
      </c>
      <c r="I27" s="211">
        <v>30</v>
      </c>
      <c r="J27" s="211">
        <v>30</v>
      </c>
      <c r="K27" s="207">
        <v>30.2</v>
      </c>
      <c r="L27" s="207">
        <v>30.2</v>
      </c>
      <c r="M27" s="207">
        <f>'Haver Pivoted'!GX89</f>
        <v>34.4</v>
      </c>
      <c r="N27" s="207">
        <f>'Haver Pivoted'!GY89</f>
        <v>34.4</v>
      </c>
      <c r="O27" s="207">
        <f>'Haver Pivoted'!GZ89</f>
        <v>218.933333333333</v>
      </c>
      <c r="P27" s="207">
        <f>'Haver Pivoted'!HA89</f>
        <v>223.13333333333301</v>
      </c>
      <c r="Q27" s="207">
        <f>'Haver Pivoted'!HB89</f>
        <v>94.3</v>
      </c>
      <c r="R27" s="207">
        <f>'Haver Pivoted'!HC89</f>
        <v>94.3</v>
      </c>
      <c r="S27" s="431">
        <f>'Haver Pivoted'!HD89</f>
        <v>94.3</v>
      </c>
      <c r="T27" s="431">
        <f>'Haver Pivoted'!HE89</f>
        <v>94.3</v>
      </c>
      <c r="U27" s="675">
        <v>34</v>
      </c>
      <c r="V27" s="551">
        <v>34</v>
      </c>
      <c r="W27" s="551">
        <v>34</v>
      </c>
      <c r="X27" s="675">
        <v>34</v>
      </c>
      <c r="Y27" s="675">
        <v>34</v>
      </c>
      <c r="Z27" s="675">
        <v>34</v>
      </c>
      <c r="AA27" s="675">
        <v>34</v>
      </c>
      <c r="AB27" s="675">
        <v>34</v>
      </c>
      <c r="AC27" s="675">
        <v>34</v>
      </c>
      <c r="AD27" s="675">
        <v>34</v>
      </c>
      <c r="AE27" s="675">
        <v>34</v>
      </c>
      <c r="AF27" s="675">
        <v>34</v>
      </c>
      <c r="AG27" s="675">
        <v>34</v>
      </c>
    </row>
    <row r="28" spans="2:101" ht="21.6" customHeight="1" x14ac:dyDescent="0.25">
      <c r="B28" s="230" t="s">
        <v>470</v>
      </c>
      <c r="C28" s="222"/>
      <c r="D28" s="257"/>
      <c r="E28" s="216"/>
      <c r="F28" s="216"/>
      <c r="G28" s="216"/>
      <c r="H28" s="551"/>
      <c r="I28" s="551"/>
      <c r="J28" s="551">
        <f>'PPP (expired)'!J53</f>
        <v>57.2</v>
      </c>
      <c r="K28" s="551">
        <f>'PPP (expired)'!K53</f>
        <v>81.2</v>
      </c>
      <c r="L28" s="551">
        <f>'PPP (expired)'!L53</f>
        <v>24.4</v>
      </c>
      <c r="M28" s="551">
        <f>'PPP (expired)'!M53</f>
        <v>11.7</v>
      </c>
      <c r="N28" s="551">
        <f>'PPP (expired)'!N53</f>
        <v>28.5</v>
      </c>
      <c r="O28" s="551">
        <f>'PPP (expired)'!O53</f>
        <v>18.8</v>
      </c>
      <c r="P28" s="551">
        <f>'PPP (expired)'!P53</f>
        <v>1.6</v>
      </c>
      <c r="Q28" s="551">
        <f>'PPP (expired)'!Q53</f>
        <v>0</v>
      </c>
      <c r="R28" s="551">
        <f>'PPP (expired)'!Q61</f>
        <v>0</v>
      </c>
      <c r="S28" s="551">
        <f>'PPP (expired)'!S53</f>
        <v>0</v>
      </c>
      <c r="T28" s="551">
        <f>'PPP (expired)'!T53</f>
        <v>0</v>
      </c>
      <c r="U28" s="551">
        <f>'PPP (expired)'!U53</f>
        <v>0</v>
      </c>
      <c r="V28" s="551">
        <f>'PPP (expired)'!V53</f>
        <v>0</v>
      </c>
      <c r="W28" s="551">
        <f>'PPP (expired)'!W53</f>
        <v>0</v>
      </c>
      <c r="X28" s="675">
        <f>'PPP (expired)'!X53</f>
        <v>0</v>
      </c>
      <c r="Y28" s="675">
        <f>'PPP (expired)'!Y53</f>
        <v>0</v>
      </c>
      <c r="Z28" s="675">
        <f>'PPP (expired)'!Z53</f>
        <v>0</v>
      </c>
      <c r="AA28" s="675">
        <f>'PPP (expired)'!AA53</f>
        <v>0</v>
      </c>
      <c r="AB28" s="675">
        <f>'PPP (expired)'!AB53</f>
        <v>0</v>
      </c>
      <c r="AC28" s="675">
        <f>'PPP (expired)'!AC53</f>
        <v>0</v>
      </c>
      <c r="AD28" s="675">
        <f>'PPP (expired)'!AD53</f>
        <v>0</v>
      </c>
      <c r="AE28" s="675">
        <f>'PPP (expired)'!AE53</f>
        <v>0</v>
      </c>
      <c r="AF28" s="675">
        <f>'PPP (expired)'!AF53</f>
        <v>0</v>
      </c>
      <c r="AG28" s="675">
        <f>'PPP (expired)'!AG53</f>
        <v>0</v>
      </c>
    </row>
    <row r="29" spans="2:101" ht="21.6" customHeight="1" x14ac:dyDescent="0.25">
      <c r="B29" s="454" t="s">
        <v>802</v>
      </c>
      <c r="C29" s="222"/>
      <c r="D29" s="591">
        <f t="shared" ref="D29:AF29" si="2">D101</f>
        <v>0</v>
      </c>
      <c r="E29" s="551">
        <f t="shared" si="2"/>
        <v>0</v>
      </c>
      <c r="F29" s="551">
        <f t="shared" si="2"/>
        <v>0</v>
      </c>
      <c r="G29" s="551">
        <f t="shared" si="2"/>
        <v>0</v>
      </c>
      <c r="H29" s="551">
        <f t="shared" si="2"/>
        <v>0</v>
      </c>
      <c r="I29" s="551">
        <f t="shared" si="2"/>
        <v>-6.6417499999997744</v>
      </c>
      <c r="J29" s="551">
        <f t="shared" si="2"/>
        <v>-38.222083333332648</v>
      </c>
      <c r="K29" s="551">
        <f t="shared" si="2"/>
        <v>84.695583333333389</v>
      </c>
      <c r="L29" s="551">
        <f t="shared" si="2"/>
        <v>16.60225000000014</v>
      </c>
      <c r="M29" s="551">
        <f t="shared" si="2"/>
        <v>16.668916666666519</v>
      </c>
      <c r="N29" s="551">
        <f t="shared" si="2"/>
        <v>-12.19925666666677</v>
      </c>
      <c r="O29" s="551">
        <f t="shared" si="2"/>
        <v>-14.628243333333103</v>
      </c>
      <c r="P29" s="551">
        <f t="shared" si="2"/>
        <v>-31.382416666666586</v>
      </c>
      <c r="Q29" s="551">
        <f t="shared" si="2"/>
        <v>-3.1812166666670691</v>
      </c>
      <c r="R29" s="551">
        <f t="shared" si="2"/>
        <v>-1.8405500000005759</v>
      </c>
      <c r="S29" s="551">
        <f t="shared" si="2"/>
        <v>-17.07788333333383</v>
      </c>
      <c r="T29" s="551">
        <f t="shared" si="2"/>
        <v>-2.5472166666675093</v>
      </c>
      <c r="U29" s="551">
        <f t="shared" si="2"/>
        <v>18.339804999999615</v>
      </c>
      <c r="V29" s="551">
        <f>V101</f>
        <v>17.924900238094551</v>
      </c>
      <c r="W29" s="551">
        <f t="shared" si="2"/>
        <v>7.0605669047611173</v>
      </c>
      <c r="X29" s="675">
        <f t="shared" si="2"/>
        <v>24.070804999999382</v>
      </c>
      <c r="Y29" s="675">
        <f t="shared" si="2"/>
        <v>24.070804999999382</v>
      </c>
      <c r="Z29" s="675">
        <f t="shared" si="2"/>
        <v>24.070804999999382</v>
      </c>
      <c r="AA29" s="675">
        <f t="shared" si="2"/>
        <v>24.070804999999382</v>
      </c>
      <c r="AB29" s="675">
        <f t="shared" si="2"/>
        <v>24.070804999999382</v>
      </c>
      <c r="AC29" s="675">
        <f t="shared" si="2"/>
        <v>24.070804999999382</v>
      </c>
      <c r="AD29" s="675">
        <f t="shared" si="2"/>
        <v>24.070804999999382</v>
      </c>
      <c r="AE29" s="675">
        <f t="shared" si="2"/>
        <v>24.070804999999382</v>
      </c>
      <c r="AF29" s="675">
        <f t="shared" si="2"/>
        <v>24.070804999999382</v>
      </c>
      <c r="AG29" s="677"/>
    </row>
    <row r="30" spans="2:101" ht="21" customHeight="1" x14ac:dyDescent="0.25">
      <c r="B30" s="250" t="s">
        <v>799</v>
      </c>
      <c r="C30" s="245"/>
      <c r="D30" s="725">
        <f t="shared" ref="D30:W30" si="3">D25+D21</f>
        <v>0</v>
      </c>
      <c r="E30" s="635">
        <f t="shared" si="3"/>
        <v>0</v>
      </c>
      <c r="F30" s="635">
        <f t="shared" si="3"/>
        <v>0</v>
      </c>
      <c r="G30" s="635">
        <f t="shared" si="3"/>
        <v>0</v>
      </c>
      <c r="H30" s="635">
        <f t="shared" si="3"/>
        <v>0</v>
      </c>
      <c r="I30" s="635">
        <f t="shared" si="3"/>
        <v>0</v>
      </c>
      <c r="J30" s="635">
        <f t="shared" si="3"/>
        <v>160.9</v>
      </c>
      <c r="K30" s="635">
        <f t="shared" si="3"/>
        <v>58.4</v>
      </c>
      <c r="L30" s="635">
        <f t="shared" si="3"/>
        <v>34.5</v>
      </c>
      <c r="M30" s="635">
        <f t="shared" si="3"/>
        <v>21.4</v>
      </c>
      <c r="N30" s="635">
        <f t="shared" si="3"/>
        <v>13.3</v>
      </c>
      <c r="O30" s="635">
        <f t="shared" si="3"/>
        <v>21.804000000000041</v>
      </c>
      <c r="P30" s="548">
        <f t="shared" si="3"/>
        <v>51.919000000000011</v>
      </c>
      <c r="Q30" s="635">
        <f t="shared" si="3"/>
        <v>46.619</v>
      </c>
      <c r="R30" s="635">
        <f t="shared" si="3"/>
        <v>39.719000000000008</v>
      </c>
      <c r="S30" s="635">
        <f t="shared" si="3"/>
        <v>27.819000000000003</v>
      </c>
      <c r="T30" s="548">
        <f t="shared" si="3"/>
        <v>6.3160000000000007</v>
      </c>
      <c r="U30" s="548">
        <f t="shared" si="3"/>
        <v>1.4159999999999999</v>
      </c>
      <c r="V30" s="548">
        <f t="shared" si="3"/>
        <v>1.4159999999999999</v>
      </c>
      <c r="W30" s="548">
        <f t="shared" si="3"/>
        <v>1.4159999999999999</v>
      </c>
      <c r="X30" s="553">
        <f t="shared" ref="X30:AB30" si="4">X25+X21</f>
        <v>1.4790000000000001</v>
      </c>
      <c r="Y30" s="553">
        <f t="shared" si="4"/>
        <v>1.4790000000000001</v>
      </c>
      <c r="Z30" s="553">
        <f t="shared" si="4"/>
        <v>1.4790000000000001</v>
      </c>
      <c r="AA30" s="553">
        <f t="shared" si="4"/>
        <v>1.4790000000000001</v>
      </c>
      <c r="AB30" s="553">
        <f t="shared" si="4"/>
        <v>1.63</v>
      </c>
      <c r="AC30" s="553">
        <f>AC25+AC21</f>
        <v>1.63</v>
      </c>
      <c r="AD30" s="553">
        <f t="shared" ref="AD30:AF30" si="5">AD25+AD21</f>
        <v>1.63</v>
      </c>
      <c r="AE30" s="553">
        <f t="shared" si="5"/>
        <v>1.63</v>
      </c>
      <c r="AF30" s="553">
        <f t="shared" si="5"/>
        <v>1.671</v>
      </c>
      <c r="AG30" s="496"/>
    </row>
    <row r="31" spans="2:101" ht="44.85" customHeight="1" x14ac:dyDescent="0.25">
      <c r="B31" s="230" t="s">
        <v>806</v>
      </c>
      <c r="C31" s="222"/>
      <c r="D31" s="591">
        <f t="shared" ref="D31:AF31" si="6">D93</f>
        <v>1410.9</v>
      </c>
      <c r="E31" s="551">
        <f t="shared" si="6"/>
        <v>1471.1999999999998</v>
      </c>
      <c r="F31" s="551">
        <f t="shared" si="6"/>
        <v>1477.1000000000001</v>
      </c>
      <c r="G31" s="551">
        <f t="shared" si="6"/>
        <v>1484</v>
      </c>
      <c r="H31" s="551">
        <f t="shared" si="6"/>
        <v>1492</v>
      </c>
      <c r="I31" s="551">
        <f t="shared" si="6"/>
        <v>1543.2999999999997</v>
      </c>
      <c r="J31" s="551">
        <f t="shared" si="6"/>
        <v>1550.2333333333331</v>
      </c>
      <c r="K31" s="551">
        <f t="shared" si="6"/>
        <v>1557.1666666666665</v>
      </c>
      <c r="L31" s="551">
        <f t="shared" si="6"/>
        <v>1564.1</v>
      </c>
      <c r="M31" s="551">
        <f t="shared" si="6"/>
        <v>1588.5533333333333</v>
      </c>
      <c r="N31" s="551">
        <f t="shared" si="6"/>
        <v>1595.4866666666667</v>
      </c>
      <c r="O31" s="551">
        <f t="shared" si="6"/>
        <v>1602.42</v>
      </c>
      <c r="P31" s="551">
        <f t="shared" si="6"/>
        <v>1609.3533333333335</v>
      </c>
      <c r="Q31" s="551">
        <f t="shared" si="6"/>
        <v>1688.207466666667</v>
      </c>
      <c r="R31" s="551">
        <f t="shared" si="6"/>
        <v>1695.1408000000004</v>
      </c>
      <c r="S31" s="551">
        <f t="shared" si="6"/>
        <v>1702.0741333333337</v>
      </c>
      <c r="T31" s="551">
        <f t="shared" si="6"/>
        <v>1709.0074666666671</v>
      </c>
      <c r="U31" s="551">
        <f t="shared" si="6"/>
        <v>1822.5884450000005</v>
      </c>
      <c r="V31" s="551">
        <f t="shared" si="6"/>
        <v>1829.5217783333339</v>
      </c>
      <c r="W31" s="551">
        <f t="shared" si="6"/>
        <v>1836.4551116666673</v>
      </c>
      <c r="X31" s="675">
        <f t="shared" si="6"/>
        <v>1843.3884450000007</v>
      </c>
      <c r="Y31" s="675">
        <f t="shared" si="6"/>
        <v>1895.992911261334</v>
      </c>
      <c r="Z31" s="675">
        <f t="shared" si="6"/>
        <v>1902.9262445946674</v>
      </c>
      <c r="AA31" s="675">
        <f t="shared" si="6"/>
        <v>1909.8595779280008</v>
      </c>
      <c r="AB31" s="675">
        <f t="shared" si="6"/>
        <v>1916.7929112613342</v>
      </c>
      <c r="AC31" s="675">
        <f t="shared" si="6"/>
        <v>1958.1726553028836</v>
      </c>
      <c r="AD31" s="675">
        <f t="shared" si="6"/>
        <v>1965.105988636217</v>
      </c>
      <c r="AE31" s="675">
        <f t="shared" si="6"/>
        <v>1972.0393219695504</v>
      </c>
      <c r="AF31" s="675">
        <f t="shared" si="6"/>
        <v>1978.9726553028838</v>
      </c>
      <c r="AG31" s="496"/>
    </row>
    <row r="32" spans="2:101" ht="44.85" customHeight="1" x14ac:dyDescent="0.25">
      <c r="B32" s="414" t="s">
        <v>1190</v>
      </c>
      <c r="D32" s="591"/>
      <c r="E32" s="551"/>
      <c r="F32" s="551"/>
      <c r="G32" s="551"/>
      <c r="H32" s="551"/>
      <c r="I32" s="551"/>
      <c r="J32" s="551"/>
      <c r="K32" s="551"/>
      <c r="L32" s="551"/>
      <c r="M32" s="551"/>
      <c r="N32" s="551"/>
      <c r="O32" s="551"/>
      <c r="P32" s="551"/>
      <c r="Q32" s="551"/>
      <c r="R32" s="551"/>
      <c r="S32" s="665">
        <f>'IRA and CHIPS'!E191</f>
        <v>-0.622</v>
      </c>
      <c r="T32" s="665">
        <f>'IRA and CHIPS'!F191</f>
        <v>21.89</v>
      </c>
      <c r="U32" s="665">
        <f>'IRA and CHIPS'!G191</f>
        <v>21.89</v>
      </c>
      <c r="V32" s="665">
        <f>'IRA and CHIPS'!H191</f>
        <v>21.89</v>
      </c>
      <c r="W32" s="665">
        <f>'IRA and CHIPS'!I191</f>
        <v>21.89</v>
      </c>
      <c r="X32" s="678">
        <f>'IRA and CHIPS'!J191</f>
        <v>15.439</v>
      </c>
      <c r="Y32" s="678">
        <f>'IRA and CHIPS'!K191</f>
        <v>15.439</v>
      </c>
      <c r="Z32" s="678">
        <f>'IRA and CHIPS'!L191</f>
        <v>15.439</v>
      </c>
      <c r="AA32" s="678">
        <f>'IRA and CHIPS'!M191</f>
        <v>15.439</v>
      </c>
      <c r="AB32" s="678">
        <f>'IRA and CHIPS'!N191</f>
        <v>16.966999999999999</v>
      </c>
      <c r="AC32" s="678">
        <f>'IRA and CHIPS'!O191</f>
        <v>16.966999999999999</v>
      </c>
      <c r="AD32" s="678">
        <f>'IRA and CHIPS'!P191</f>
        <v>16.966999999999999</v>
      </c>
      <c r="AE32" s="678">
        <f>'IRA and CHIPS'!Q191</f>
        <v>16.966999999999999</v>
      </c>
      <c r="AF32" s="678">
        <f>'IRA and CHIPS'!R191</f>
        <v>0.72799999999999998</v>
      </c>
      <c r="AG32" s="678">
        <f>'IRA and CHIPS'!S191</f>
        <v>0.72799999999999998</v>
      </c>
    </row>
    <row r="33" spans="2:39" ht="31.35" customHeight="1" x14ac:dyDescent="0.25">
      <c r="B33" s="579" t="s">
        <v>803</v>
      </c>
      <c r="C33" s="245"/>
      <c r="D33" s="548">
        <f t="shared" ref="D33:R33" si="7">D31+SUM(D26:D29)+D32</f>
        <v>1440.9</v>
      </c>
      <c r="E33" s="548">
        <f t="shared" si="7"/>
        <v>1501.1999999999998</v>
      </c>
      <c r="F33" s="548">
        <f t="shared" si="7"/>
        <v>1507.1000000000001</v>
      </c>
      <c r="G33" s="548">
        <f t="shared" si="7"/>
        <v>1514</v>
      </c>
      <c r="H33" s="548">
        <f t="shared" si="7"/>
        <v>1522</v>
      </c>
      <c r="I33" s="548">
        <f t="shared" si="7"/>
        <v>1573.3</v>
      </c>
      <c r="J33" s="548">
        <f t="shared" si="7"/>
        <v>1650.6000000000004</v>
      </c>
      <c r="K33" s="548">
        <f t="shared" si="7"/>
        <v>1808.6</v>
      </c>
      <c r="L33" s="548">
        <f t="shared" si="7"/>
        <v>1697.9</v>
      </c>
      <c r="M33" s="548">
        <f t="shared" si="7"/>
        <v>1739.3999999999999</v>
      </c>
      <c r="N33" s="548">
        <f t="shared" si="7"/>
        <v>1749.07816</v>
      </c>
      <c r="O33" s="548">
        <f t="shared" si="7"/>
        <v>1919.92984</v>
      </c>
      <c r="P33" s="548">
        <f t="shared" si="7"/>
        <v>1894.6239999999998</v>
      </c>
      <c r="Q33" s="548">
        <f t="shared" si="7"/>
        <v>1859.424</v>
      </c>
      <c r="R33" s="548">
        <f t="shared" si="7"/>
        <v>1856.6239999999998</v>
      </c>
      <c r="S33" s="548">
        <f>S31+SUM(S26:S29)+S32</f>
        <v>1840.0239999999999</v>
      </c>
      <c r="T33" s="697">
        <f>T31+SUM(T26:T29)+T32</f>
        <v>1904.0839999999996</v>
      </c>
      <c r="U33" s="697">
        <f>U31+SUM(U26:U29)+U32</f>
        <v>1972.2840000000003</v>
      </c>
      <c r="V33" s="548">
        <f>V31+SUM(V26:V29)+V32</f>
        <v>1951.7554285714286</v>
      </c>
      <c r="W33" s="548">
        <f>W31+SUM(W26:W29)+W32</f>
        <v>1947.7554285714286</v>
      </c>
      <c r="X33" s="553">
        <f t="shared" ref="X33" si="8">X31+SUM(X26:X29)+X32</f>
        <v>1954.2990000000002</v>
      </c>
      <c r="Y33" s="553">
        <f t="shared" ref="Y33" si="9">Y31+SUM(Y26:Y29)+Y32</f>
        <v>2006.9034662613335</v>
      </c>
      <c r="Z33" s="553">
        <f t="shared" ref="Z33" si="10">Z31+SUM(Z26:Z29)+Z32</f>
        <v>2013.8367995946669</v>
      </c>
      <c r="AA33" s="553">
        <f t="shared" ref="AA33" si="11">AA31+SUM(AA26:AA29)+AA32</f>
        <v>2020.7701329280003</v>
      </c>
      <c r="AB33" s="553">
        <f t="shared" ref="AB33" si="12">AB31+SUM(AB26:AB29)+AB32</f>
        <v>2029.2314662613337</v>
      </c>
      <c r="AC33" s="553">
        <f>AC31+SUM(AC26:AC29)+AC32</f>
        <v>2070.6112103028831</v>
      </c>
      <c r="AD33" s="553">
        <f t="shared" ref="AD33:AF33" si="13">AD31+SUM(AD26:AD29)+AD32</f>
        <v>2077.5445436362165</v>
      </c>
      <c r="AE33" s="553">
        <f t="shared" si="13"/>
        <v>2084.4778769695499</v>
      </c>
      <c r="AF33" s="553">
        <f t="shared" si="13"/>
        <v>2075.1722103028833</v>
      </c>
      <c r="AG33" s="679"/>
    </row>
    <row r="34" spans="2:39" ht="31.35" customHeight="1" x14ac:dyDescent="0.25">
      <c r="B34" s="579"/>
      <c r="C34" s="245"/>
      <c r="D34" s="548"/>
      <c r="E34" s="548"/>
      <c r="F34" s="548"/>
      <c r="G34" s="548"/>
      <c r="H34" s="548"/>
      <c r="I34" s="548"/>
      <c r="J34" s="548"/>
      <c r="K34" s="548"/>
      <c r="L34" s="548"/>
      <c r="M34" s="548"/>
      <c r="N34" s="548"/>
      <c r="O34" s="548"/>
      <c r="P34" s="548"/>
      <c r="Q34" s="548"/>
      <c r="R34" s="548"/>
      <c r="S34" s="548"/>
      <c r="T34" s="548"/>
      <c r="U34" s="548"/>
      <c r="V34" s="548"/>
      <c r="W34" s="548"/>
      <c r="X34" s="553"/>
      <c r="Y34" s="553"/>
      <c r="Z34" s="553"/>
      <c r="AA34" s="553"/>
      <c r="AB34" s="553"/>
      <c r="AC34" s="553"/>
    </row>
    <row r="35" spans="2:39" ht="31.35" customHeight="1" x14ac:dyDescent="0.25">
      <c r="B35" s="1453" t="s">
        <v>473</v>
      </c>
      <c r="C35" s="1454"/>
      <c r="D35" s="574"/>
      <c r="E35" s="575"/>
      <c r="F35" s="575"/>
      <c r="G35" s="575"/>
      <c r="H35" s="575"/>
      <c r="I35" s="575"/>
      <c r="J35" s="575"/>
      <c r="K35" s="575"/>
      <c r="L35" s="575"/>
      <c r="M35" s="575"/>
      <c r="N35" s="575"/>
      <c r="O35" s="575"/>
      <c r="P35" s="575"/>
      <c r="Q35" s="575"/>
      <c r="R35" s="575"/>
      <c r="S35" s="575"/>
      <c r="T35" s="548"/>
      <c r="U35" s="575"/>
      <c r="V35" s="548"/>
      <c r="W35" s="548"/>
      <c r="X35" s="553"/>
      <c r="Y35" s="553"/>
      <c r="Z35" s="553"/>
      <c r="AA35" s="553"/>
      <c r="AB35" s="553"/>
      <c r="AC35" s="690"/>
    </row>
    <row r="36" spans="2:39" x14ac:dyDescent="0.25">
      <c r="B36" s="454" t="s">
        <v>808</v>
      </c>
      <c r="C36" s="222" t="s">
        <v>474</v>
      </c>
      <c r="D36" s="257">
        <f>'Haver Pivoted'!GO37</f>
        <v>733.6</v>
      </c>
      <c r="E36" s="216">
        <f>'Haver Pivoted'!GP37</f>
        <v>744.2</v>
      </c>
      <c r="F36" s="216">
        <f>'Haver Pivoted'!GQ37</f>
        <v>762.1</v>
      </c>
      <c r="G36" s="216">
        <f>'Haver Pivoted'!GR37</f>
        <v>772.2</v>
      </c>
      <c r="H36" s="216">
        <f>'Haver Pivoted'!GS37</f>
        <v>772.4</v>
      </c>
      <c r="I36" s="216">
        <f>'Haver Pivoted'!GT37</f>
        <v>761.7</v>
      </c>
      <c r="J36" s="216">
        <f>'Haver Pivoted'!GU37</f>
        <v>812.1</v>
      </c>
      <c r="K36" s="216">
        <f>'Haver Pivoted'!GV37</f>
        <v>850.2</v>
      </c>
      <c r="L36" s="216">
        <f>'Haver Pivoted'!GW37</f>
        <v>838.8</v>
      </c>
      <c r="M36" s="216">
        <f>'Haver Pivoted'!GX37</f>
        <v>866.1</v>
      </c>
      <c r="N36" s="216">
        <f>'Haver Pivoted'!GY37</f>
        <v>908</v>
      </c>
      <c r="O36" s="216">
        <f>'Haver Pivoted'!GZ37</f>
        <v>915.6</v>
      </c>
      <c r="P36" s="216">
        <f>'Haver Pivoted'!HA37</f>
        <v>912.9</v>
      </c>
      <c r="Q36" s="216">
        <f>'Haver Pivoted'!HB37</f>
        <v>960.5</v>
      </c>
      <c r="R36" s="216">
        <f>'Haver Pivoted'!HC37</f>
        <v>995.3</v>
      </c>
      <c r="S36" s="634">
        <f>'Haver Pivoted'!HD37</f>
        <v>1015.5</v>
      </c>
      <c r="T36" s="634">
        <f>'Haver Pivoted'!HE37</f>
        <v>1078.2</v>
      </c>
      <c r="U36" s="634">
        <f>'Haver Pivoted'!HF37</f>
        <v>1055.7</v>
      </c>
      <c r="V36" s="664">
        <f>'Haver Pivoted'!HG37</f>
        <v>1087.5</v>
      </c>
      <c r="W36" s="664">
        <f>'Haver Pivoted'!HH37</f>
        <v>1057.5999999999999</v>
      </c>
      <c r="X36" s="664">
        <f>'Haver Pivoted'!HI37</f>
        <v>1045.2</v>
      </c>
      <c r="Y36" s="680"/>
      <c r="Z36" s="680"/>
      <c r="AA36" s="680"/>
      <c r="AB36" s="680"/>
      <c r="AC36" s="736"/>
    </row>
    <row r="37" spans="2:39" x14ac:dyDescent="0.25">
      <c r="B37" s="547" t="s">
        <v>209</v>
      </c>
      <c r="C37" s="222"/>
      <c r="D37" s="591">
        <f>Medicaid!D27</f>
        <v>589.5</v>
      </c>
      <c r="E37" s="551">
        <f>Medicaid!E27</f>
        <v>598.70000000000005</v>
      </c>
      <c r="F37" s="551">
        <f>Medicaid!F27</f>
        <v>614.4</v>
      </c>
      <c r="G37" s="551">
        <f>Medicaid!G27</f>
        <v>622.4</v>
      </c>
      <c r="H37" s="551">
        <f>Medicaid!H27</f>
        <v>620.6</v>
      </c>
      <c r="I37" s="551">
        <f>Medicaid!I27</f>
        <v>606.4</v>
      </c>
      <c r="J37" s="551">
        <f>Medicaid!J27</f>
        <v>654.6</v>
      </c>
      <c r="K37" s="551">
        <f>Medicaid!K27</f>
        <v>690.8</v>
      </c>
      <c r="L37" s="551">
        <f>Medicaid!L27</f>
        <v>678.6</v>
      </c>
      <c r="M37" s="551">
        <f>Medicaid!M27</f>
        <v>705</v>
      </c>
      <c r="N37" s="551">
        <f>Medicaid!N27</f>
        <v>745.7</v>
      </c>
      <c r="O37" s="551">
        <f>Medicaid!O27</f>
        <v>749.2</v>
      </c>
      <c r="P37" s="551">
        <f>Medicaid!P27</f>
        <v>746.1</v>
      </c>
      <c r="Q37" s="551">
        <f>Medicaid!Q27</f>
        <v>791.4</v>
      </c>
      <c r="R37" s="551">
        <f>Medicaid!R27</f>
        <v>818.7</v>
      </c>
      <c r="S37" s="634">
        <f>Medicaid!S27</f>
        <v>819</v>
      </c>
      <c r="T37" s="551">
        <f>Medicaid!T27</f>
        <v>828.4</v>
      </c>
      <c r="U37" s="551">
        <f>Medicaid!U27</f>
        <v>871.5</v>
      </c>
      <c r="V37" s="551">
        <f>Medicaid!V27</f>
        <v>911.4</v>
      </c>
      <c r="W37" s="551">
        <f>Medicaid!W27</f>
        <v>880.6</v>
      </c>
      <c r="X37" s="675">
        <f>Medicaid!X27</f>
        <v>868.3</v>
      </c>
      <c r="Y37" s="675">
        <f>Medicaid!Y27</f>
        <v>905.84639409421584</v>
      </c>
      <c r="Z37" s="675">
        <f>Medicaid!Z27</f>
        <v>897.02724353928306</v>
      </c>
      <c r="AA37" s="675">
        <f>Medicaid!AA27</f>
        <v>888.29395457966893</v>
      </c>
      <c r="AB37" s="675">
        <f>Medicaid!AB27</f>
        <v>894.16410112633832</v>
      </c>
      <c r="AC37" s="723">
        <f>Medicaid!AC27</f>
        <v>900.07303958451598</v>
      </c>
    </row>
    <row r="38" spans="2:39" ht="14.85" customHeight="1" x14ac:dyDescent="0.25">
      <c r="B38" s="579" t="s">
        <v>809</v>
      </c>
      <c r="C38" s="245"/>
      <c r="D38" s="590">
        <f>D36-D37</f>
        <v>144.10000000000002</v>
      </c>
      <c r="E38" s="548">
        <f t="shared" ref="E38:O38" si="14">E36-E37</f>
        <v>145.5</v>
      </c>
      <c r="F38" s="548">
        <f t="shared" si="14"/>
        <v>147.70000000000005</v>
      </c>
      <c r="G38" s="548">
        <f t="shared" si="14"/>
        <v>149.80000000000007</v>
      </c>
      <c r="H38" s="548">
        <f t="shared" si="14"/>
        <v>151.79999999999995</v>
      </c>
      <c r="I38" s="548">
        <f t="shared" si="14"/>
        <v>155.30000000000007</v>
      </c>
      <c r="J38" s="548">
        <f t="shared" si="14"/>
        <v>157.5</v>
      </c>
      <c r="K38" s="548">
        <f t="shared" si="14"/>
        <v>159.40000000000009</v>
      </c>
      <c r="L38" s="548">
        <f t="shared" si="14"/>
        <v>160.19999999999993</v>
      </c>
      <c r="M38" s="548">
        <f t="shared" si="14"/>
        <v>161.10000000000002</v>
      </c>
      <c r="N38" s="548">
        <f t="shared" si="14"/>
        <v>162.29999999999995</v>
      </c>
      <c r="O38" s="548">
        <f t="shared" si="14"/>
        <v>166.39999999999998</v>
      </c>
      <c r="P38" s="548">
        <f>P36-P37</f>
        <v>166.79999999999995</v>
      </c>
      <c r="Q38" s="548">
        <f>Q36-Q37</f>
        <v>169.10000000000002</v>
      </c>
      <c r="R38" s="548">
        <f>R36-R37</f>
        <v>176.59999999999991</v>
      </c>
      <c r="S38" s="634">
        <f>S36-S37</f>
        <v>196.5</v>
      </c>
      <c r="T38" s="634">
        <f>T36-T37</f>
        <v>249.80000000000007</v>
      </c>
      <c r="U38" s="548">
        <f>T38*(1+AVERAGE($F$40:$I$40))+U39</f>
        <v>183.90584224202988</v>
      </c>
      <c r="V38" s="548">
        <f>U38*(1+AVERAGE($F$40:$I$40))+V39</f>
        <v>186.92861396193939</v>
      </c>
      <c r="W38" s="548">
        <f t="shared" ref="W38:AA38" si="15">V38*(1+AVERAGE($F$40:$I$40))</f>
        <v>190.00106952418523</v>
      </c>
      <c r="X38" s="553">
        <f>W38*(1+AVERAGE($F$40:$I$40))</f>
        <v>193.12402555814535</v>
      </c>
      <c r="Y38" s="553">
        <f t="shared" si="15"/>
        <v>196.29831211574134</v>
      </c>
      <c r="Z38" s="553">
        <f t="shared" si="15"/>
        <v>199.52477289205825</v>
      </c>
      <c r="AA38" s="553">
        <f t="shared" si="15"/>
        <v>202.80426544959073</v>
      </c>
      <c r="AB38" s="553">
        <f>AA38*(1+AVERAGE($F$40:$I$40))</f>
        <v>206.137661446175</v>
      </c>
      <c r="AC38" s="553">
        <f t="shared" ref="AC38:AG38" si="16">AB38*(1+AVERAGE($F$40:$I$40))</f>
        <v>209.52584686666717</v>
      </c>
      <c r="AD38" s="553">
        <f t="shared" si="16"/>
        <v>212.9697222584295</v>
      </c>
      <c r="AE38" s="553">
        <f t="shared" si="16"/>
        <v>216.47020297068735</v>
      </c>
      <c r="AF38" s="553">
        <f t="shared" si="16"/>
        <v>220.02821939782032</v>
      </c>
      <c r="AG38" s="553">
        <f t="shared" si="16"/>
        <v>223.64471722665206</v>
      </c>
    </row>
    <row r="39" spans="2:39" ht="14.85" customHeight="1" x14ac:dyDescent="0.25">
      <c r="B39" s="579" t="s">
        <v>1700</v>
      </c>
      <c r="C39" s="245"/>
      <c r="D39" s="590"/>
      <c r="E39" s="548"/>
      <c r="F39" s="548"/>
      <c r="G39" s="548"/>
      <c r="H39" s="548"/>
      <c r="I39" s="548"/>
      <c r="J39" s="548"/>
      <c r="K39" s="548"/>
      <c r="L39" s="548"/>
      <c r="M39" s="548"/>
      <c r="N39" s="548"/>
      <c r="O39" s="548"/>
      <c r="P39" s="548"/>
      <c r="Q39" s="548"/>
      <c r="R39" s="548"/>
      <c r="S39" s="634"/>
      <c r="T39" s="548"/>
      <c r="U39" s="548">
        <v>-70</v>
      </c>
      <c r="V39" s="548"/>
      <c r="W39" s="548"/>
      <c r="X39" s="553"/>
      <c r="Y39" s="553"/>
      <c r="Z39" s="553"/>
      <c r="AA39" s="553"/>
      <c r="AB39" s="553"/>
      <c r="AC39" s="690"/>
    </row>
    <row r="40" spans="2:39" x14ac:dyDescent="0.25">
      <c r="B40" s="717" t="s">
        <v>810</v>
      </c>
      <c r="C40" s="345"/>
      <c r="D40" s="592"/>
      <c r="E40" s="578">
        <f>E38/D38-1</f>
        <v>9.7154753643302616E-3</v>
      </c>
      <c r="F40" s="578">
        <f t="shared" ref="F40:N40" si="17">F38/E38-1</f>
        <v>1.5120274914089737E-2</v>
      </c>
      <c r="G40" s="578">
        <f t="shared" si="17"/>
        <v>1.4218009478673244E-2</v>
      </c>
      <c r="H40" s="578">
        <f t="shared" si="17"/>
        <v>1.3351134846461221E-2</v>
      </c>
      <c r="I40" s="578">
        <f t="shared" si="17"/>
        <v>2.3056653491436929E-2</v>
      </c>
      <c r="J40" s="578">
        <f t="shared" si="17"/>
        <v>1.416613007083023E-2</v>
      </c>
      <c r="K40" s="578">
        <f t="shared" si="17"/>
        <v>1.2063492063492554E-2</v>
      </c>
      <c r="L40" s="578">
        <f t="shared" si="17"/>
        <v>5.0188205771632965E-3</v>
      </c>
      <c r="M40" s="578">
        <f t="shared" si="17"/>
        <v>5.6179775280904565E-3</v>
      </c>
      <c r="N40" s="578">
        <f t="shared" si="17"/>
        <v>7.4487895716941477E-3</v>
      </c>
      <c r="O40" s="578">
        <f>O38/N38-1</f>
        <v>2.5261860751694565E-2</v>
      </c>
      <c r="P40" s="578">
        <f t="shared" ref="P40:S40" si="18">P38/O38-1</f>
        <v>2.4038461538460343E-3</v>
      </c>
      <c r="Q40" s="578">
        <f t="shared" si="18"/>
        <v>1.3788968824940406E-2</v>
      </c>
      <c r="R40" s="578">
        <f t="shared" si="18"/>
        <v>4.4352454169130029E-2</v>
      </c>
      <c r="S40" s="654">
        <f t="shared" si="18"/>
        <v>0.1126840317100799</v>
      </c>
      <c r="T40" s="550"/>
      <c r="U40" s="550"/>
      <c r="V40" s="550"/>
      <c r="W40" s="550"/>
      <c r="X40" s="586"/>
      <c r="Y40" s="586"/>
      <c r="Z40" s="586"/>
      <c r="AA40" s="586"/>
      <c r="AB40" s="586"/>
      <c r="AC40" s="689"/>
    </row>
    <row r="43" spans="2:39" x14ac:dyDescent="0.25">
      <c r="B43" s="1401"/>
      <c r="C43" s="1401"/>
      <c r="U43" s="216"/>
      <c r="V43" s="216"/>
      <c r="W43" s="216"/>
      <c r="X43" s="216"/>
      <c r="Y43" s="216"/>
      <c r="Z43" s="216"/>
      <c r="AA43" s="216"/>
      <c r="AB43" s="216"/>
      <c r="AC43" s="216"/>
    </row>
    <row r="44" spans="2:39" x14ac:dyDescent="0.25">
      <c r="B44" s="464"/>
      <c r="C44" s="222"/>
      <c r="U44" s="551"/>
      <c r="V44" s="551">
        <f>V32+V31+V26+V27+V28+V29</f>
        <v>1951.7554285714286</v>
      </c>
      <c r="W44" s="551"/>
      <c r="X44" s="551"/>
      <c r="Y44" s="551"/>
      <c r="Z44" s="551"/>
      <c r="AA44" s="551"/>
      <c r="AB44" s="551"/>
      <c r="AC44" s="551"/>
      <c r="AD44" s="512"/>
      <c r="AE44" s="512"/>
      <c r="AF44" s="512"/>
      <c r="AG44" s="512"/>
      <c r="AH44" s="512"/>
      <c r="AI44" s="512"/>
      <c r="AJ44" s="512"/>
      <c r="AK44" s="512"/>
      <c r="AL44" s="512"/>
      <c r="AM44" s="512"/>
    </row>
    <row r="45" spans="2:39" x14ac:dyDescent="0.25">
      <c r="B45" s="464"/>
      <c r="C45" s="222"/>
      <c r="U45" s="216"/>
      <c r="V45" s="216"/>
      <c r="W45" s="216"/>
      <c r="X45" s="216"/>
      <c r="Y45" s="216"/>
      <c r="Z45" s="216"/>
      <c r="AA45" s="216"/>
      <c r="AB45" s="216"/>
      <c r="AC45" s="216"/>
      <c r="AD45" s="512"/>
      <c r="AE45" s="512"/>
      <c r="AF45" s="512"/>
      <c r="AG45" s="512"/>
      <c r="AH45" s="512"/>
      <c r="AI45" s="512"/>
      <c r="AJ45" s="512"/>
      <c r="AK45" s="512"/>
      <c r="AL45" s="512"/>
      <c r="AM45" s="512"/>
    </row>
    <row r="46" spans="2:39" ht="28.5" customHeight="1" x14ac:dyDescent="0.25">
      <c r="B46" s="231"/>
      <c r="C46" s="222"/>
      <c r="U46" s="551"/>
      <c r="V46" s="551"/>
      <c r="W46" s="551"/>
      <c r="X46" s="551"/>
      <c r="Y46" s="551"/>
      <c r="Z46" s="551"/>
      <c r="AA46" s="551"/>
      <c r="AB46" s="551"/>
      <c r="AC46" s="551"/>
      <c r="AD46" s="512"/>
      <c r="AE46" s="512"/>
      <c r="AF46" s="512"/>
      <c r="AG46" s="512"/>
      <c r="AH46" s="512"/>
      <c r="AI46" s="512"/>
      <c r="AJ46" s="512"/>
      <c r="AK46" s="512"/>
      <c r="AL46" s="512"/>
      <c r="AM46" s="512"/>
    </row>
    <row r="47" spans="2:39" x14ac:dyDescent="0.25">
      <c r="B47" s="231"/>
      <c r="C47" s="222"/>
      <c r="U47" s="551"/>
      <c r="V47" s="551"/>
      <c r="W47" s="551"/>
      <c r="X47" s="551"/>
      <c r="Y47" s="551"/>
      <c r="Z47" s="551"/>
      <c r="AA47" s="551"/>
      <c r="AB47" s="551"/>
      <c r="AC47" s="551"/>
      <c r="AD47" s="512"/>
      <c r="AE47" s="512"/>
      <c r="AF47" s="512"/>
      <c r="AG47" s="512"/>
      <c r="AH47" s="512"/>
      <c r="AI47" s="512"/>
      <c r="AJ47" s="512"/>
      <c r="AK47" s="512"/>
      <c r="AL47" s="512"/>
      <c r="AM47" s="512"/>
    </row>
    <row r="48" spans="2:39" x14ac:dyDescent="0.25">
      <c r="B48" s="464"/>
      <c r="C48" s="222"/>
      <c r="U48" s="551"/>
      <c r="V48" s="551"/>
      <c r="W48" s="551"/>
      <c r="X48" s="551"/>
      <c r="Y48" s="551"/>
      <c r="Z48" s="551"/>
      <c r="AA48" s="551"/>
      <c r="AB48" s="551"/>
      <c r="AC48" s="551"/>
      <c r="AD48" s="512"/>
      <c r="AE48" s="512"/>
      <c r="AF48" s="512"/>
      <c r="AG48" s="512"/>
      <c r="AH48" s="512"/>
      <c r="AI48" s="512"/>
      <c r="AJ48" s="512"/>
      <c r="AK48" s="512"/>
      <c r="AL48" s="512"/>
      <c r="AM48" s="512"/>
    </row>
    <row r="49" spans="2:39" x14ac:dyDescent="0.25">
      <c r="B49" s="237"/>
      <c r="C49" s="245"/>
      <c r="U49" s="548"/>
      <c r="V49" s="548"/>
      <c r="W49" s="548"/>
      <c r="X49" s="548"/>
      <c r="Y49" s="548"/>
      <c r="Z49" s="548"/>
      <c r="AA49" s="548"/>
      <c r="AB49" s="548"/>
      <c r="AC49" s="548"/>
      <c r="AD49" s="512"/>
      <c r="AE49" s="512"/>
      <c r="AF49" s="512"/>
      <c r="AG49" s="512"/>
      <c r="AH49" s="512"/>
      <c r="AI49" s="512"/>
      <c r="AJ49" s="512"/>
      <c r="AK49" s="512"/>
      <c r="AL49" s="512"/>
      <c r="AM49" s="512"/>
    </row>
    <row r="50" spans="2:39" x14ac:dyDescent="0.25">
      <c r="B50" s="231"/>
      <c r="C50" s="681"/>
      <c r="U50" s="551"/>
      <c r="V50" s="551"/>
      <c r="W50" s="551"/>
      <c r="X50" s="551"/>
      <c r="Y50" s="551"/>
      <c r="Z50" s="551"/>
      <c r="AA50" s="551"/>
      <c r="AB50" s="551"/>
      <c r="AC50" s="551"/>
      <c r="AD50" s="512"/>
      <c r="AE50" s="512"/>
      <c r="AF50" s="512"/>
      <c r="AG50" s="512"/>
      <c r="AH50" s="512"/>
      <c r="AI50" s="512"/>
      <c r="AJ50" s="512"/>
      <c r="AK50" s="512"/>
      <c r="AL50" s="512"/>
      <c r="AM50" s="512"/>
    </row>
    <row r="51" spans="2:39" x14ac:dyDescent="0.25">
      <c r="B51" s="231"/>
      <c r="C51" s="681"/>
      <c r="U51" s="211"/>
      <c r="V51" s="211"/>
      <c r="W51" s="211"/>
      <c r="X51" s="211"/>
      <c r="Y51" s="211"/>
      <c r="Z51" s="211"/>
      <c r="AA51" s="211"/>
      <c r="AB51" s="211"/>
      <c r="AC51" s="211"/>
      <c r="AD51" s="512"/>
      <c r="AE51" s="512"/>
      <c r="AF51" s="512"/>
      <c r="AG51" s="512"/>
      <c r="AH51" s="512"/>
      <c r="AI51" s="512"/>
      <c r="AJ51" s="512"/>
      <c r="AK51" s="512"/>
      <c r="AL51" s="512"/>
      <c r="AM51" s="512"/>
    </row>
    <row r="52" spans="2:39" x14ac:dyDescent="0.25">
      <c r="B52" s="231"/>
      <c r="C52" s="222"/>
      <c r="U52" s="551"/>
      <c r="V52" s="551"/>
      <c r="W52" s="551"/>
      <c r="X52" s="551"/>
      <c r="Y52" s="551"/>
      <c r="Z52" s="551"/>
      <c r="AA52" s="551"/>
      <c r="AB52" s="551"/>
      <c r="AC52" s="551"/>
      <c r="AD52" s="512"/>
      <c r="AE52" s="512"/>
      <c r="AF52" s="512"/>
      <c r="AG52" s="512"/>
      <c r="AH52" s="512"/>
      <c r="AI52" s="512"/>
      <c r="AJ52" s="512"/>
      <c r="AK52" s="512"/>
      <c r="AL52" s="512"/>
      <c r="AM52" s="512"/>
    </row>
    <row r="53" spans="2:39" x14ac:dyDescent="0.25">
      <c r="B53" s="231"/>
      <c r="C53" s="222"/>
      <c r="U53" s="551"/>
      <c r="V53" s="551"/>
      <c r="W53" s="551"/>
      <c r="X53" s="551"/>
      <c r="Y53" s="551"/>
      <c r="Z53" s="551"/>
      <c r="AA53" s="551"/>
      <c r="AB53" s="551"/>
      <c r="AC53" s="551"/>
      <c r="AD53" s="512"/>
      <c r="AE53" s="512"/>
      <c r="AF53" s="512"/>
      <c r="AG53" s="512"/>
      <c r="AH53" s="512"/>
      <c r="AI53" s="512"/>
      <c r="AJ53" s="512"/>
      <c r="AK53" s="512"/>
      <c r="AL53" s="512"/>
      <c r="AM53" s="512"/>
    </row>
    <row r="54" spans="2:39" x14ac:dyDescent="0.25">
      <c r="B54" s="231"/>
      <c r="C54" s="222"/>
      <c r="U54" s="551"/>
      <c r="V54" s="551"/>
      <c r="W54" s="551"/>
      <c r="X54" s="551"/>
      <c r="Y54" s="551"/>
      <c r="Z54" s="551"/>
      <c r="AA54" s="551"/>
      <c r="AB54" s="551"/>
      <c r="AC54" s="551"/>
      <c r="AD54" s="512"/>
      <c r="AE54" s="512"/>
      <c r="AF54" s="512"/>
      <c r="AG54" s="512"/>
      <c r="AH54" s="512"/>
      <c r="AI54" s="512"/>
      <c r="AJ54" s="512"/>
      <c r="AK54" s="512"/>
      <c r="AL54" s="512"/>
      <c r="AM54" s="512"/>
    </row>
    <row r="55" spans="2:39" x14ac:dyDescent="0.25">
      <c r="B55" s="464"/>
      <c r="C55" s="222"/>
      <c r="U55" s="551"/>
      <c r="V55" s="551"/>
      <c r="W55" s="551"/>
      <c r="X55" s="551"/>
      <c r="Y55" s="551"/>
      <c r="Z55" s="551"/>
      <c r="AA55" s="551"/>
      <c r="AB55" s="551"/>
      <c r="AC55" s="551"/>
      <c r="AD55" s="512"/>
      <c r="AE55" s="512"/>
      <c r="AF55" s="512"/>
      <c r="AG55" s="512"/>
      <c r="AH55" s="512"/>
      <c r="AI55" s="512"/>
      <c r="AJ55" s="512"/>
      <c r="AK55" s="512"/>
      <c r="AL55" s="512"/>
      <c r="AM55" s="512"/>
    </row>
    <row r="56" spans="2:39" x14ac:dyDescent="0.25">
      <c r="B56" s="237"/>
      <c r="C56" s="245"/>
      <c r="U56" s="635"/>
      <c r="V56" s="635"/>
      <c r="W56" s="635"/>
      <c r="X56" s="635"/>
      <c r="Y56" s="635"/>
      <c r="Z56" s="635"/>
      <c r="AA56" s="635"/>
      <c r="AB56" s="635"/>
      <c r="AC56" s="635"/>
      <c r="AD56" s="512"/>
      <c r="AE56" s="512"/>
      <c r="AF56" s="512"/>
      <c r="AG56" s="512"/>
      <c r="AH56" s="512"/>
      <c r="AI56" s="512"/>
      <c r="AJ56" s="512"/>
      <c r="AK56" s="512"/>
      <c r="AL56" s="512"/>
      <c r="AM56" s="512"/>
    </row>
    <row r="57" spans="2:39" ht="28.5" customHeight="1" x14ac:dyDescent="0.25">
      <c r="B57" s="231"/>
      <c r="C57" s="222"/>
      <c r="U57" s="551"/>
      <c r="V57" s="551"/>
      <c r="W57" s="551"/>
      <c r="X57" s="551"/>
      <c r="Y57" s="551"/>
      <c r="Z57" s="551"/>
      <c r="AA57" s="551"/>
      <c r="AB57" s="551"/>
      <c r="AC57" s="551"/>
      <c r="AD57" s="512"/>
      <c r="AE57" s="512"/>
      <c r="AF57" s="512"/>
      <c r="AG57" s="512"/>
      <c r="AH57" s="512"/>
      <c r="AI57" s="512"/>
      <c r="AJ57" s="512"/>
      <c r="AK57" s="512"/>
      <c r="AL57" s="512"/>
      <c r="AM57" s="512"/>
    </row>
    <row r="58" spans="2:39" x14ac:dyDescent="0.25">
      <c r="B58" s="366"/>
      <c r="C58" s="35"/>
      <c r="U58" s="665"/>
      <c r="V58" s="665"/>
      <c r="W58" s="665"/>
      <c r="X58" s="665"/>
      <c r="Y58" s="665"/>
      <c r="Z58" s="665"/>
      <c r="AA58" s="665"/>
      <c r="AB58" s="665"/>
      <c r="AC58" s="665"/>
      <c r="AD58" s="512"/>
      <c r="AE58" s="512"/>
      <c r="AF58" s="512"/>
      <c r="AG58" s="512"/>
      <c r="AH58" s="512"/>
      <c r="AI58" s="512"/>
      <c r="AJ58" s="512"/>
      <c r="AK58" s="512"/>
      <c r="AL58" s="512"/>
      <c r="AM58" s="512"/>
    </row>
    <row r="59" spans="2:39" x14ac:dyDescent="0.25">
      <c r="B59" s="245"/>
      <c r="C59" s="245"/>
      <c r="U59" s="548"/>
      <c r="V59" s="548"/>
      <c r="W59" s="548"/>
      <c r="X59" s="548"/>
      <c r="Y59" s="548"/>
      <c r="Z59" s="548"/>
      <c r="AA59" s="548"/>
      <c r="AB59" s="548"/>
      <c r="AC59" s="548"/>
      <c r="AD59" s="512"/>
      <c r="AE59" s="512"/>
      <c r="AF59" s="512"/>
      <c r="AG59" s="512"/>
      <c r="AH59" s="512"/>
      <c r="AI59" s="512"/>
      <c r="AJ59" s="512"/>
      <c r="AK59" s="512"/>
      <c r="AL59" s="512"/>
      <c r="AM59" s="512"/>
    </row>
    <row r="60" spans="2:39" x14ac:dyDescent="0.25">
      <c r="B60" s="1401"/>
      <c r="C60" s="1401"/>
      <c r="U60" s="548"/>
      <c r="V60" s="548"/>
      <c r="W60" s="548"/>
      <c r="X60" s="548"/>
      <c r="Y60" s="548"/>
      <c r="Z60" s="548"/>
      <c r="AA60" s="548"/>
      <c r="AB60" s="548"/>
      <c r="AC60" s="548"/>
      <c r="AD60" s="512"/>
      <c r="AE60" s="512"/>
      <c r="AF60" s="512"/>
      <c r="AG60" s="512"/>
      <c r="AH60" s="512"/>
      <c r="AI60" s="512"/>
      <c r="AJ60" s="512"/>
      <c r="AK60" s="512"/>
      <c r="AL60" s="512"/>
      <c r="AM60" s="512"/>
    </row>
    <row r="61" spans="2:39" x14ac:dyDescent="0.25">
      <c r="B61" s="464"/>
      <c r="C61" s="222"/>
      <c r="U61" s="222"/>
      <c r="V61" s="222"/>
      <c r="W61" s="222"/>
      <c r="X61" s="222"/>
      <c r="Y61" s="222"/>
      <c r="Z61" s="222"/>
      <c r="AA61" s="222"/>
      <c r="AB61" s="222"/>
      <c r="AC61" s="222"/>
      <c r="AD61" s="512"/>
      <c r="AE61" s="512"/>
      <c r="AF61" s="512"/>
      <c r="AG61" s="512"/>
      <c r="AH61" s="512"/>
      <c r="AI61" s="512"/>
      <c r="AJ61" s="512"/>
      <c r="AK61" s="512"/>
      <c r="AL61" s="512"/>
      <c r="AM61" s="512"/>
    </row>
    <row r="62" spans="2:39" x14ac:dyDescent="0.25">
      <c r="B62" s="222"/>
      <c r="C62" s="222"/>
      <c r="U62" s="551"/>
      <c r="V62" s="551"/>
      <c r="W62" s="551"/>
      <c r="X62" s="551"/>
      <c r="Y62" s="551"/>
      <c r="Z62" s="551"/>
      <c r="AA62" s="551"/>
      <c r="AB62" s="551"/>
      <c r="AC62" s="551"/>
      <c r="AD62" s="512"/>
      <c r="AE62" s="512"/>
      <c r="AF62" s="512"/>
      <c r="AG62" s="512"/>
      <c r="AH62" s="512"/>
      <c r="AI62" s="512"/>
      <c r="AJ62" s="512"/>
      <c r="AK62" s="512"/>
      <c r="AL62" s="512"/>
      <c r="AM62" s="512"/>
    </row>
    <row r="63" spans="2:39" x14ac:dyDescent="0.25">
      <c r="B63" s="245"/>
      <c r="C63" s="245"/>
      <c r="U63" s="548"/>
      <c r="V63" s="548"/>
      <c r="W63" s="548"/>
      <c r="X63" s="548"/>
      <c r="Y63" s="548"/>
      <c r="Z63" s="548"/>
      <c r="AA63" s="548"/>
      <c r="AB63" s="548"/>
      <c r="AC63" s="548"/>
      <c r="AD63" s="512"/>
      <c r="AE63" s="512"/>
      <c r="AF63" s="512"/>
      <c r="AG63" s="512"/>
      <c r="AH63" s="512"/>
      <c r="AI63" s="512"/>
      <c r="AJ63" s="512"/>
      <c r="AK63" s="512"/>
      <c r="AL63" s="512"/>
      <c r="AM63" s="512"/>
    </row>
    <row r="64" spans="2:39" x14ac:dyDescent="0.25">
      <c r="B64" s="245"/>
      <c r="C64" s="245"/>
      <c r="U64" s="548"/>
      <c r="V64" s="548"/>
      <c r="W64" s="548"/>
      <c r="X64" s="548"/>
      <c r="Y64" s="548"/>
      <c r="Z64" s="548"/>
      <c r="AA64" s="548"/>
      <c r="AB64" s="548"/>
      <c r="AC64" s="548"/>
      <c r="AD64" s="512"/>
      <c r="AE64" s="512"/>
      <c r="AF64" s="512"/>
      <c r="AG64" s="512"/>
      <c r="AH64" s="512"/>
      <c r="AI64" s="512"/>
      <c r="AJ64" s="512"/>
      <c r="AK64" s="512"/>
      <c r="AL64" s="512"/>
      <c r="AM64" s="512"/>
    </row>
    <row r="65" spans="2:39" x14ac:dyDescent="0.25">
      <c r="B65" s="682"/>
      <c r="C65" s="222"/>
      <c r="U65" s="551"/>
      <c r="V65" s="551"/>
      <c r="W65" s="551"/>
      <c r="X65" s="551"/>
      <c r="Y65" s="551"/>
      <c r="Z65" s="551"/>
      <c r="AA65" s="551"/>
      <c r="AB65" s="551"/>
      <c r="AC65" s="551"/>
      <c r="AD65" s="512"/>
      <c r="AE65" s="512"/>
      <c r="AF65" s="512"/>
      <c r="AG65" s="512"/>
      <c r="AH65" s="512"/>
      <c r="AI65" s="512"/>
      <c r="AJ65" s="512"/>
      <c r="AK65" s="512"/>
      <c r="AL65" s="512"/>
      <c r="AM65" s="512"/>
    </row>
    <row r="67" spans="2:39" x14ac:dyDescent="0.25">
      <c r="U67" s="1452"/>
      <c r="V67" s="1452"/>
      <c r="W67" s="1452"/>
      <c r="X67" s="1452"/>
    </row>
    <row r="68" spans="2:39" x14ac:dyDescent="0.25">
      <c r="U68" s="1452"/>
      <c r="V68" s="1452"/>
      <c r="W68" s="1452"/>
      <c r="X68" s="1452"/>
    </row>
    <row r="69" spans="2:39" x14ac:dyDescent="0.25">
      <c r="U69" s="1452"/>
      <c r="V69" s="1452"/>
      <c r="W69" s="1452"/>
      <c r="X69" s="1452"/>
    </row>
    <row r="71" spans="2:39" x14ac:dyDescent="0.25">
      <c r="P71" s="478"/>
      <c r="Q71" s="478"/>
    </row>
    <row r="72" spans="2:39" x14ac:dyDescent="0.25">
      <c r="B72" s="509" t="s">
        <v>352</v>
      </c>
      <c r="D72" s="551"/>
      <c r="E72" s="551"/>
      <c r="F72" s="551"/>
      <c r="G72" s="551"/>
      <c r="H72" s="551"/>
      <c r="I72" s="551"/>
      <c r="J72" s="551"/>
      <c r="K72" s="551"/>
      <c r="L72" s="551"/>
      <c r="M72" s="551"/>
      <c r="N72" s="551"/>
      <c r="O72" s="551"/>
      <c r="P72" s="551"/>
      <c r="Q72" s="551"/>
      <c r="R72" s="551"/>
      <c r="S72" s="551"/>
      <c r="T72" s="551"/>
      <c r="U72" s="551"/>
      <c r="V72" s="551"/>
      <c r="W72" s="551"/>
      <c r="X72" s="551"/>
      <c r="Y72" s="551"/>
      <c r="Z72" s="551"/>
      <c r="AA72" s="551"/>
      <c r="AB72" s="551"/>
      <c r="AC72" s="551"/>
    </row>
    <row r="73" spans="2:39" ht="45.75" customHeight="1" x14ac:dyDescent="0.25">
      <c r="B73" s="1455" t="s">
        <v>477</v>
      </c>
      <c r="C73" s="1455"/>
      <c r="D73" s="1455"/>
      <c r="E73" s="1455"/>
      <c r="F73" s="1455"/>
      <c r="G73" s="1455"/>
      <c r="H73" s="1455"/>
      <c r="I73" s="1455"/>
      <c r="J73" s="1455"/>
      <c r="K73" s="1455"/>
      <c r="L73" s="1455"/>
      <c r="M73" s="1455"/>
      <c r="N73" s="1455"/>
      <c r="O73" s="1455"/>
      <c r="P73" s="1455"/>
      <c r="Q73" s="1455"/>
      <c r="R73" s="1455"/>
      <c r="S73" s="1455"/>
      <c r="T73" s="1455"/>
      <c r="U73" s="1455"/>
      <c r="V73" s="1455"/>
      <c r="W73" s="1455"/>
      <c r="X73" s="1455"/>
      <c r="Y73" s="1455"/>
      <c r="Z73" s="1455"/>
      <c r="AA73" s="1455"/>
      <c r="AB73" s="1455"/>
      <c r="AC73" s="1455"/>
    </row>
    <row r="74" spans="2:39" ht="14.85" customHeight="1" x14ac:dyDescent="0.25">
      <c r="B74" s="1364" t="s">
        <v>478</v>
      </c>
      <c r="C74" s="1365"/>
      <c r="D74" s="1427" t="s">
        <v>280</v>
      </c>
      <c r="E74" s="1428"/>
      <c r="F74" s="1428"/>
      <c r="G74" s="1428"/>
      <c r="H74" s="1428"/>
      <c r="I74" s="1428"/>
      <c r="J74" s="1428"/>
      <c r="K74" s="1428"/>
      <c r="L74" s="1428"/>
      <c r="M74" s="1428"/>
      <c r="N74" s="1428"/>
      <c r="O74" s="1428"/>
      <c r="P74" s="1428"/>
      <c r="Q74" s="1428"/>
      <c r="R74" s="1428"/>
      <c r="S74" s="1428"/>
      <c r="T74" s="1428"/>
      <c r="U74" s="1428"/>
      <c r="V74" s="1461"/>
      <c r="W74" s="1390" t="s">
        <v>281</v>
      </c>
      <c r="X74" s="1391"/>
      <c r="Y74" s="1391"/>
      <c r="Z74" s="1391"/>
      <c r="AA74" s="1391"/>
      <c r="AB74" s="1391"/>
      <c r="AC74" s="1391"/>
      <c r="AD74" s="1391"/>
      <c r="AE74" s="1391"/>
      <c r="AF74" s="1391"/>
      <c r="AG74" s="1391"/>
    </row>
    <row r="75" spans="2:39" x14ac:dyDescent="0.25">
      <c r="B75" s="1364"/>
      <c r="C75" s="1365"/>
      <c r="D75" s="200">
        <v>2018</v>
      </c>
      <c r="E75" s="1371">
        <v>2019</v>
      </c>
      <c r="F75" s="1372"/>
      <c r="G75" s="1372"/>
      <c r="H75" s="1373"/>
      <c r="I75" s="1371">
        <v>2020</v>
      </c>
      <c r="J75" s="1372"/>
      <c r="K75" s="1372"/>
      <c r="L75" s="1372"/>
      <c r="M75" s="1371">
        <v>2021</v>
      </c>
      <c r="N75" s="1372"/>
      <c r="O75" s="1372"/>
      <c r="P75" s="1372"/>
      <c r="Q75" s="1371">
        <v>2022</v>
      </c>
      <c r="R75" s="1403"/>
      <c r="S75" s="1403"/>
      <c r="T75" s="1373"/>
      <c r="U75" s="270"/>
      <c r="V75" s="556">
        <v>2023</v>
      </c>
      <c r="W75" s="552"/>
      <c r="X75" s="242"/>
      <c r="Y75" s="1368">
        <v>2024</v>
      </c>
      <c r="Z75" s="1381"/>
      <c r="AA75" s="1381"/>
      <c r="AB75" s="1370"/>
      <c r="AC75" s="1368">
        <v>2025</v>
      </c>
      <c r="AD75" s="1381"/>
      <c r="AE75" s="1381"/>
      <c r="AF75" s="1370"/>
      <c r="AG75" s="498">
        <v>2026</v>
      </c>
    </row>
    <row r="76" spans="2:39" x14ac:dyDescent="0.25">
      <c r="B76" s="1366"/>
      <c r="C76" s="1367"/>
      <c r="D76" s="195" t="s">
        <v>282</v>
      </c>
      <c r="E76" s="195" t="s">
        <v>283</v>
      </c>
      <c r="F76" s="196" t="s">
        <v>284</v>
      </c>
      <c r="G76" s="196" t="s">
        <v>238</v>
      </c>
      <c r="H76" s="197" t="s">
        <v>282</v>
      </c>
      <c r="I76" s="196" t="s">
        <v>283</v>
      </c>
      <c r="J76" s="196" t="s">
        <v>284</v>
      </c>
      <c r="K76" s="196" t="s">
        <v>238</v>
      </c>
      <c r="L76" s="196" t="s">
        <v>282</v>
      </c>
      <c r="M76" s="195" t="s">
        <v>283</v>
      </c>
      <c r="N76" s="196" t="s">
        <v>284</v>
      </c>
      <c r="O76" s="196" t="s">
        <v>238</v>
      </c>
      <c r="P76" s="196" t="s">
        <v>282</v>
      </c>
      <c r="Q76" s="195" t="s">
        <v>283</v>
      </c>
      <c r="R76" s="196" t="s">
        <v>284</v>
      </c>
      <c r="S76" s="196" t="s">
        <v>238</v>
      </c>
      <c r="T76" s="197" t="s">
        <v>282</v>
      </c>
      <c r="U76" s="196" t="s">
        <v>283</v>
      </c>
      <c r="V76" s="268" t="s">
        <v>284</v>
      </c>
      <c r="W76" s="252" t="s">
        <v>238</v>
      </c>
      <c r="X76" s="253" t="s">
        <v>282</v>
      </c>
      <c r="Y76" s="251" t="s">
        <v>283</v>
      </c>
      <c r="Z76" s="249" t="s">
        <v>284</v>
      </c>
      <c r="AA76" s="252" t="s">
        <v>238</v>
      </c>
      <c r="AB76" s="252" t="s">
        <v>282</v>
      </c>
      <c r="AC76" s="251" t="s">
        <v>283</v>
      </c>
      <c r="AD76" s="249" t="s">
        <v>284</v>
      </c>
      <c r="AE76" s="252" t="s">
        <v>238</v>
      </c>
      <c r="AF76" s="252" t="s">
        <v>282</v>
      </c>
      <c r="AG76" s="251" t="s">
        <v>283</v>
      </c>
    </row>
    <row r="77" spans="2:39" x14ac:dyDescent="0.25">
      <c r="B77" s="547" t="s">
        <v>1439</v>
      </c>
      <c r="D77" s="235"/>
      <c r="E77" s="291"/>
      <c r="F77" s="291"/>
      <c r="G77" s="291"/>
      <c r="H77" s="291"/>
      <c r="I77" s="571">
        <f>(I78-AVERAGE($E78:$H78))</f>
        <v>6.6417500000000018</v>
      </c>
      <c r="J77" s="571">
        <f t="shared" ref="J77:N77" si="19">(J78-AVERAGE($E78:$H78))</f>
        <v>51.388749999999995</v>
      </c>
      <c r="K77" s="571">
        <f t="shared" si="19"/>
        <v>55.337750000000007</v>
      </c>
      <c r="L77" s="571">
        <f t="shared" si="19"/>
        <v>62.597749999999998</v>
      </c>
      <c r="M77" s="571">
        <f t="shared" si="19"/>
        <v>88.07774999999998</v>
      </c>
      <c r="N77" s="571">
        <f t="shared" si="19"/>
        <v>102.89075</v>
      </c>
      <c r="O77" s="571">
        <f t="shared" ref="O77:U77" si="20">(O78-AVERAGE($E78:$H78))</f>
        <v>94.404750000000007</v>
      </c>
      <c r="P77" s="571">
        <f t="shared" si="20"/>
        <v>91.919749999999993</v>
      </c>
      <c r="Q77" s="571">
        <f t="shared" si="20"/>
        <v>80.097749999999991</v>
      </c>
      <c r="R77" s="571">
        <f t="shared" si="20"/>
        <v>69.023750000000007</v>
      </c>
      <c r="S77" s="572">
        <f t="shared" si="20"/>
        <v>61.349750000000007</v>
      </c>
      <c r="T77" s="559">
        <f t="shared" si="20"/>
        <v>81.433750000000003</v>
      </c>
      <c r="U77" s="572">
        <f t="shared" si="20"/>
        <v>75.465749999999986</v>
      </c>
      <c r="V77" s="572">
        <f>(V78-AVERAGE($E78:$H78))</f>
        <v>48.418749999999996</v>
      </c>
      <c r="W77" s="572">
        <f>(W78-AVERAGE($E78:$H78))</f>
        <v>48.349750000000007</v>
      </c>
      <c r="X77" s="572">
        <f>(X78-AVERAGE($E78:$H78))</f>
        <v>37.400749999999995</v>
      </c>
      <c r="Y77" s="726">
        <f t="shared" ref="Y77:AC77" si="21">X77</f>
        <v>37.400749999999995</v>
      </c>
      <c r="Z77" s="726">
        <f t="shared" si="21"/>
        <v>37.400749999999995</v>
      </c>
      <c r="AA77" s="726">
        <f t="shared" si="21"/>
        <v>37.400749999999995</v>
      </c>
      <c r="AB77" s="726">
        <f t="shared" si="21"/>
        <v>37.400749999999995</v>
      </c>
      <c r="AC77" s="687">
        <f t="shared" si="21"/>
        <v>37.400749999999995</v>
      </c>
      <c r="AD77" s="726">
        <f t="shared" ref="AD77" si="22">AC77</f>
        <v>37.400749999999995</v>
      </c>
      <c r="AE77" s="726">
        <f t="shared" ref="AE77" si="23">AD77</f>
        <v>37.400749999999995</v>
      </c>
      <c r="AF77" s="726">
        <f t="shared" ref="AF77" si="24">AE77</f>
        <v>37.400749999999995</v>
      </c>
      <c r="AG77" s="726">
        <f t="shared" ref="AG77" si="25">AF77</f>
        <v>37.400749999999995</v>
      </c>
    </row>
    <row r="78" spans="2:39" x14ac:dyDescent="0.25">
      <c r="B78" s="547" t="s">
        <v>160</v>
      </c>
      <c r="C78" s="222" t="s">
        <v>479</v>
      </c>
      <c r="D78" s="257">
        <f>'Haver Pivoted'!GO66</f>
        <v>57.017000000000003</v>
      </c>
      <c r="E78" s="216">
        <f>'Haver Pivoted'!GP66</f>
        <v>55.847999999999999</v>
      </c>
      <c r="F78" s="216">
        <f>'Haver Pivoted'!GQ66</f>
        <v>54.531999999999996</v>
      </c>
      <c r="G78" s="216">
        <f>'Haver Pivoted'!GR66</f>
        <v>54.451999999999998</v>
      </c>
      <c r="H78" s="216">
        <f>'Haver Pivoted'!GS66</f>
        <v>54.012999999999998</v>
      </c>
      <c r="I78" s="216">
        <f>'Haver Pivoted'!GT66</f>
        <v>61.353000000000002</v>
      </c>
      <c r="J78" s="216">
        <f>'Haver Pivoted'!GU66</f>
        <v>106.1</v>
      </c>
      <c r="K78" s="216">
        <f>'Haver Pivoted'!GV66</f>
        <v>110.04900000000001</v>
      </c>
      <c r="L78" s="216">
        <f>'Haver Pivoted'!GW66</f>
        <v>117.309</v>
      </c>
      <c r="M78" s="216">
        <f>'Haver Pivoted'!GX66</f>
        <v>142.78899999999999</v>
      </c>
      <c r="N78" s="216">
        <f>'Haver Pivoted'!GY66</f>
        <v>157.602</v>
      </c>
      <c r="O78" s="216">
        <f>'Haver Pivoted'!GZ66</f>
        <v>149.11600000000001</v>
      </c>
      <c r="P78" s="216">
        <f>'Haver Pivoted'!HA66</f>
        <v>146.631</v>
      </c>
      <c r="Q78" s="216">
        <f>'Haver Pivoted'!HB66</f>
        <v>134.809</v>
      </c>
      <c r="R78" s="216">
        <f>'Haver Pivoted'!HC66</f>
        <v>123.735</v>
      </c>
      <c r="S78" s="196">
        <f>'Haver Pivoted'!HD66</f>
        <v>116.06100000000001</v>
      </c>
      <c r="T78" s="196">
        <f>'Haver Pivoted'!HE66</f>
        <v>136.14500000000001</v>
      </c>
      <c r="U78" s="196">
        <f>'Haver Pivoted'!HF66</f>
        <v>130.17699999999999</v>
      </c>
      <c r="V78" s="196">
        <f>'Haver Pivoted'!HG66</f>
        <v>103.13</v>
      </c>
      <c r="W78" s="196">
        <f>'Haver Pivoted'!HH66</f>
        <v>103.06100000000001</v>
      </c>
      <c r="X78" s="196">
        <f>'Haver Pivoted'!HI66</f>
        <v>92.111999999999995</v>
      </c>
      <c r="Y78" s="312"/>
      <c r="Z78" s="312"/>
      <c r="AA78" s="312"/>
      <c r="AB78" s="312"/>
      <c r="AC78" s="312"/>
      <c r="AD78" s="500"/>
      <c r="AE78" s="500"/>
      <c r="AF78" s="500"/>
      <c r="AG78" s="500"/>
    </row>
    <row r="79" spans="2:39" ht="29.1" customHeight="1" x14ac:dyDescent="0.25">
      <c r="B79" s="344" t="s">
        <v>480</v>
      </c>
      <c r="C79" s="345"/>
      <c r="D79" s="721"/>
      <c r="E79" s="562"/>
      <c r="F79" s="562"/>
      <c r="G79" s="562"/>
      <c r="H79" s="562"/>
      <c r="I79" s="562"/>
      <c r="J79" s="562">
        <f t="shared" ref="J79:W79" si="26">J78-$H78</f>
        <v>52.086999999999996</v>
      </c>
      <c r="K79" s="562">
        <f t="shared" si="26"/>
        <v>56.036000000000008</v>
      </c>
      <c r="L79" s="562">
        <f t="shared" si="26"/>
        <v>63.295999999999999</v>
      </c>
      <c r="M79" s="562">
        <f t="shared" si="26"/>
        <v>88.775999999999982</v>
      </c>
      <c r="N79" s="562">
        <f>N78-$H78</f>
        <v>103.589</v>
      </c>
      <c r="O79" s="562">
        <f>O78-$H78</f>
        <v>95.103000000000009</v>
      </c>
      <c r="P79" s="562">
        <f t="shared" si="26"/>
        <v>92.617999999999995</v>
      </c>
      <c r="Q79" s="562">
        <f t="shared" si="26"/>
        <v>80.795999999999992</v>
      </c>
      <c r="R79" s="562">
        <f t="shared" si="26"/>
        <v>69.722000000000008</v>
      </c>
      <c r="S79" s="268">
        <f t="shared" si="26"/>
        <v>62.048000000000009</v>
      </c>
      <c r="T79" s="268">
        <f t="shared" si="26"/>
        <v>82.132000000000005</v>
      </c>
      <c r="U79" s="268">
        <f t="shared" si="26"/>
        <v>76.163999999999987</v>
      </c>
      <c r="V79" s="268">
        <f t="shared" si="26"/>
        <v>49.116999999999997</v>
      </c>
      <c r="W79" s="268">
        <f t="shared" si="26"/>
        <v>49.048000000000009</v>
      </c>
      <c r="X79" s="268">
        <f t="shared" ref="X79" si="27">X78-$H78</f>
        <v>38.098999999999997</v>
      </c>
      <c r="Y79" s="252"/>
      <c r="Z79" s="252"/>
      <c r="AA79" s="252"/>
      <c r="AB79" s="252"/>
      <c r="AC79" s="252"/>
      <c r="AD79" s="500"/>
      <c r="AE79" s="500"/>
      <c r="AF79" s="500"/>
      <c r="AG79" s="500"/>
    </row>
    <row r="80" spans="2:39" ht="29.1" customHeight="1" x14ac:dyDescent="0.25">
      <c r="B80" s="222"/>
      <c r="C80" s="222"/>
      <c r="D80" s="216"/>
      <c r="E80" s="216"/>
      <c r="F80" s="216"/>
      <c r="G80" s="216"/>
      <c r="H80" s="216"/>
      <c r="I80" s="216"/>
      <c r="J80" s="216"/>
      <c r="K80" s="216"/>
      <c r="L80" s="216"/>
      <c r="M80" s="216"/>
      <c r="N80" s="216"/>
      <c r="O80" s="216"/>
      <c r="P80" s="216"/>
      <c r="Q80" s="216"/>
      <c r="R80" s="216"/>
      <c r="S80" s="216"/>
      <c r="T80" s="216"/>
      <c r="U80" s="216"/>
      <c r="V80" s="216"/>
      <c r="W80" s="216"/>
      <c r="X80" s="216"/>
      <c r="Y80" s="216"/>
      <c r="Z80" s="216"/>
      <c r="AA80" s="216"/>
      <c r="AB80" s="216"/>
      <c r="AC80" s="216"/>
    </row>
    <row r="81" spans="2:33" ht="29.1" customHeight="1" x14ac:dyDescent="0.25">
      <c r="B81" s="222"/>
      <c r="C81" s="222"/>
      <c r="D81" s="216"/>
      <c r="E81" s="216"/>
      <c r="F81" s="216"/>
      <c r="G81" s="216"/>
      <c r="H81" s="216"/>
      <c r="I81" s="216"/>
      <c r="J81" s="216"/>
      <c r="K81" s="216"/>
      <c r="L81" s="216"/>
      <c r="M81" s="216"/>
      <c r="N81" s="216"/>
      <c r="O81" s="216"/>
      <c r="P81" s="216"/>
      <c r="Q81" s="216"/>
      <c r="R81" s="216"/>
      <c r="S81" s="216"/>
      <c r="T81" s="216"/>
      <c r="U81" s="216"/>
      <c r="V81" s="216"/>
      <c r="W81" s="216"/>
      <c r="X81" s="216"/>
      <c r="Y81" s="216"/>
      <c r="Z81" s="216"/>
      <c r="AA81" s="216"/>
      <c r="AB81" s="216"/>
      <c r="AC81" s="216"/>
    </row>
    <row r="82" spans="2:33" ht="29.1" customHeight="1" x14ac:dyDescent="0.25">
      <c r="B82" s="222"/>
      <c r="C82" s="222"/>
      <c r="D82" s="216"/>
      <c r="E82" s="216"/>
      <c r="F82" s="216"/>
      <c r="G82" s="216"/>
      <c r="H82" s="216"/>
      <c r="I82" s="216"/>
      <c r="J82" s="216"/>
      <c r="K82" s="216"/>
      <c r="L82" s="216"/>
      <c r="M82" s="216"/>
      <c r="N82" s="216"/>
      <c r="O82" s="216"/>
      <c r="P82" s="216"/>
      <c r="Q82" s="216"/>
      <c r="R82" s="216"/>
      <c r="S82" s="216"/>
      <c r="T82" s="216"/>
      <c r="U82" s="216"/>
      <c r="V82" s="216"/>
      <c r="W82" s="216"/>
      <c r="X82" s="216"/>
      <c r="Y82" s="216"/>
      <c r="Z82" s="216"/>
      <c r="AA82" s="216"/>
      <c r="AB82" s="216"/>
      <c r="AC82" s="216"/>
    </row>
    <row r="83" spans="2:33" ht="35.85" customHeight="1" x14ac:dyDescent="0.25"/>
    <row r="84" spans="2:33" x14ac:dyDescent="0.25">
      <c r="B84" s="509" t="s">
        <v>365</v>
      </c>
    </row>
    <row r="85" spans="2:33" x14ac:dyDescent="0.25">
      <c r="B85" s="1456" t="s">
        <v>807</v>
      </c>
      <c r="C85" s="1457"/>
      <c r="D85" s="1366" t="s">
        <v>280</v>
      </c>
      <c r="E85" s="1379"/>
      <c r="F85" s="1379"/>
      <c r="G85" s="1379"/>
      <c r="H85" s="1379"/>
      <c r="I85" s="1379"/>
      <c r="J85" s="1379"/>
      <c r="K85" s="1379"/>
      <c r="L85" s="1379"/>
      <c r="M85" s="1379"/>
      <c r="N85" s="1379"/>
      <c r="O85" s="1379"/>
      <c r="P85" s="1379"/>
      <c r="Q85" s="1379"/>
      <c r="R85" s="1379"/>
      <c r="S85" s="1379"/>
      <c r="T85" s="1379"/>
      <c r="U85" s="1379"/>
      <c r="V85" s="1367"/>
      <c r="W85" s="1390" t="s">
        <v>281</v>
      </c>
      <c r="X85" s="1391"/>
      <c r="Y85" s="1391"/>
      <c r="Z85" s="1391"/>
      <c r="AA85" s="1391"/>
      <c r="AB85" s="1391"/>
      <c r="AC85" s="1391"/>
      <c r="AD85" s="1391"/>
      <c r="AE85" s="1391"/>
      <c r="AF85" s="1391"/>
      <c r="AG85" s="1391"/>
    </row>
    <row r="86" spans="2:33" x14ac:dyDescent="0.25">
      <c r="B86" s="1458"/>
      <c r="C86" s="1459"/>
      <c r="D86" s="200">
        <v>2018</v>
      </c>
      <c r="E86" s="1371">
        <v>2019</v>
      </c>
      <c r="F86" s="1372"/>
      <c r="G86" s="1372"/>
      <c r="H86" s="1373"/>
      <c r="I86" s="1371">
        <v>2020</v>
      </c>
      <c r="J86" s="1372"/>
      <c r="K86" s="1372"/>
      <c r="L86" s="1372"/>
      <c r="M86" s="1371">
        <v>2021</v>
      </c>
      <c r="N86" s="1372"/>
      <c r="O86" s="1372"/>
      <c r="P86" s="1372"/>
      <c r="Q86" s="1371">
        <v>2022</v>
      </c>
      <c r="R86" s="1403"/>
      <c r="S86" s="1403"/>
      <c r="T86" s="1373"/>
      <c r="U86" s="270"/>
      <c r="V86" s="556">
        <v>2023</v>
      </c>
      <c r="W86" s="552"/>
      <c r="X86" s="242"/>
      <c r="Y86" s="1368">
        <v>2024</v>
      </c>
      <c r="Z86" s="1381"/>
      <c r="AA86" s="1381"/>
      <c r="AB86" s="1370"/>
      <c r="AC86" s="1368">
        <v>2025</v>
      </c>
      <c r="AD86" s="1381"/>
      <c r="AE86" s="1381"/>
      <c r="AF86" s="1370"/>
      <c r="AG86" s="498">
        <v>2026</v>
      </c>
    </row>
    <row r="87" spans="2:33" x14ac:dyDescent="0.25">
      <c r="B87" s="1458"/>
      <c r="C87" s="1459"/>
      <c r="D87" s="195" t="s">
        <v>282</v>
      </c>
      <c r="E87" s="195" t="s">
        <v>283</v>
      </c>
      <c r="F87" s="196" t="s">
        <v>284</v>
      </c>
      <c r="G87" s="196" t="s">
        <v>238</v>
      </c>
      <c r="H87" s="197" t="s">
        <v>282</v>
      </c>
      <c r="I87" s="196" t="s">
        <v>283</v>
      </c>
      <c r="J87" s="196" t="s">
        <v>284</v>
      </c>
      <c r="K87" s="196" t="s">
        <v>238</v>
      </c>
      <c r="L87" s="196" t="s">
        <v>282</v>
      </c>
      <c r="M87" s="195" t="s">
        <v>283</v>
      </c>
      <c r="N87" s="196" t="s">
        <v>284</v>
      </c>
      <c r="O87" s="196" t="s">
        <v>238</v>
      </c>
      <c r="P87" s="196" t="s">
        <v>282</v>
      </c>
      <c r="Q87" s="195" t="s">
        <v>283</v>
      </c>
      <c r="R87" s="196" t="s">
        <v>284</v>
      </c>
      <c r="S87" s="196" t="s">
        <v>238</v>
      </c>
      <c r="T87" s="197" t="s">
        <v>282</v>
      </c>
      <c r="U87" s="196" t="s">
        <v>283</v>
      </c>
      <c r="V87" s="268" t="s">
        <v>284</v>
      </c>
      <c r="W87" s="252" t="s">
        <v>238</v>
      </c>
      <c r="X87" s="253" t="s">
        <v>282</v>
      </c>
      <c r="Y87" s="251" t="s">
        <v>283</v>
      </c>
      <c r="Z87" s="249" t="s">
        <v>284</v>
      </c>
      <c r="AA87" s="252" t="s">
        <v>238</v>
      </c>
      <c r="AB87" s="252" t="s">
        <v>282</v>
      </c>
      <c r="AC87" s="251" t="s">
        <v>283</v>
      </c>
      <c r="AD87" s="249" t="s">
        <v>284</v>
      </c>
      <c r="AE87" s="252" t="s">
        <v>238</v>
      </c>
      <c r="AF87" s="252" t="s">
        <v>282</v>
      </c>
      <c r="AG87" s="251" t="s">
        <v>283</v>
      </c>
    </row>
    <row r="88" spans="2:33" ht="25.7" customHeight="1" x14ac:dyDescent="0.25">
      <c r="B88" s="674" t="s">
        <v>467</v>
      </c>
      <c r="C88" s="432" t="s">
        <v>468</v>
      </c>
      <c r="D88" s="353">
        <f>'Haver Pivoted'!GO31</f>
        <v>2223</v>
      </c>
      <c r="E88" s="354">
        <f>'Haver Pivoted'!GP31</f>
        <v>2303.6</v>
      </c>
      <c r="F88" s="354">
        <f>'Haver Pivoted'!GQ31</f>
        <v>2320.1</v>
      </c>
      <c r="G88" s="354">
        <f>'Haver Pivoted'!GR31</f>
        <v>2332.9</v>
      </c>
      <c r="H88" s="354">
        <f>'Haver Pivoted'!GS31</f>
        <v>2346.6</v>
      </c>
      <c r="I88" s="354">
        <f>'Haver Pivoted'!GT31</f>
        <v>2412.6</v>
      </c>
      <c r="J88" s="354">
        <f>'Haver Pivoted'!GU31</f>
        <v>4652.1000000000004</v>
      </c>
      <c r="K88" s="354">
        <f>'Haver Pivoted'!GV31</f>
        <v>3508</v>
      </c>
      <c r="L88" s="354">
        <f>'Haver Pivoted'!GW31</f>
        <v>2895.4</v>
      </c>
      <c r="M88" s="354">
        <f>'Haver Pivoted'!GX31</f>
        <v>5127.3999999999996</v>
      </c>
      <c r="N88" s="354">
        <f>'Haver Pivoted'!GY31</f>
        <v>3403.8</v>
      </c>
      <c r="O88" s="354">
        <f>'Haver Pivoted'!GZ31</f>
        <v>3135</v>
      </c>
      <c r="P88" s="354">
        <f>'Haver Pivoted'!HA31</f>
        <v>2947.7</v>
      </c>
      <c r="Q88" s="354">
        <f>'Haver Pivoted'!HB31</f>
        <v>2903.2</v>
      </c>
      <c r="R88" s="354">
        <f>'Haver Pivoted'!HC31</f>
        <v>2895.2</v>
      </c>
      <c r="S88" s="355">
        <f>'Haver Pivoted'!HD31</f>
        <v>2867.4</v>
      </c>
      <c r="T88" s="688">
        <f>'Haver Pivoted'!HE31</f>
        <v>2896.7</v>
      </c>
      <c r="U88" s="355">
        <f>'Haver Pivoted'!HF31</f>
        <v>2945.8</v>
      </c>
      <c r="V88" s="355">
        <f>'Haver Pivoted'!HG31</f>
        <v>2929.7</v>
      </c>
      <c r="W88" s="355">
        <f>'Haver Pivoted'!HH31</f>
        <v>2930.1</v>
      </c>
      <c r="X88" s="355">
        <f>'Haver Pivoted'!HI31</f>
        <v>2934</v>
      </c>
      <c r="Y88" s="698"/>
      <c r="Z88" s="698"/>
      <c r="AA88" s="698"/>
      <c r="AB88" s="698"/>
      <c r="AC88" s="740"/>
      <c r="AD88" s="740"/>
      <c r="AE88" s="740"/>
      <c r="AF88" s="740"/>
      <c r="AG88" s="500"/>
    </row>
    <row r="89" spans="2:33" ht="25.7" customHeight="1" x14ac:dyDescent="0.25">
      <c r="B89" s="473" t="s">
        <v>1861</v>
      </c>
      <c r="C89" s="222"/>
      <c r="D89" s="716">
        <f>D90+D91</f>
        <v>812.1</v>
      </c>
      <c r="E89" s="429">
        <f>E90+E91</f>
        <v>832.4</v>
      </c>
      <c r="F89" s="429">
        <f>F90+F91</f>
        <v>843</v>
      </c>
      <c r="G89" s="429">
        <f t="shared" ref="G89:N89" si="28">G90+G91</f>
        <v>848.9</v>
      </c>
      <c r="H89" s="429">
        <f t="shared" si="28"/>
        <v>854.6</v>
      </c>
      <c r="I89" s="429">
        <f t="shared" si="28"/>
        <v>875.94174999999996</v>
      </c>
      <c r="J89" s="429">
        <f t="shared" si="28"/>
        <v>3140.0887499999999</v>
      </c>
      <c r="K89" s="429">
        <f t="shared" si="28"/>
        <v>1866.1377500000001</v>
      </c>
      <c r="L89" s="429">
        <f t="shared" si="28"/>
        <v>1314.69775</v>
      </c>
      <c r="M89" s="429">
        <f t="shared" si="28"/>
        <v>3522.1777499999998</v>
      </c>
      <c r="N89" s="429">
        <f t="shared" si="28"/>
        <v>1820.5125900000003</v>
      </c>
      <c r="O89" s="429">
        <f>O90+O91</f>
        <v>1547.208243333333</v>
      </c>
      <c r="P89" s="429">
        <f t="shared" ref="P89" si="29">P90+P91</f>
        <v>1369.7290833333329</v>
      </c>
      <c r="Q89" s="429">
        <f t="shared" ref="Q89" si="30">Q90+Q91</f>
        <v>1218.1737499999999</v>
      </c>
      <c r="R89" s="429">
        <f t="shared" ref="R89" si="31">R90+R91</f>
        <v>1201.89975</v>
      </c>
      <c r="S89" s="683">
        <f>S90+S91</f>
        <v>1182.4037500000002</v>
      </c>
      <c r="T89" s="683">
        <f t="shared" ref="T89" si="32">T90+T91</f>
        <v>1190.2397500000002</v>
      </c>
      <c r="U89" s="683">
        <f t="shared" ref="U89" si="33">U90+U91</f>
        <v>1104.87175</v>
      </c>
      <c r="V89" s="683">
        <f>V90+V91</f>
        <v>1082.2533214285713</v>
      </c>
      <c r="W89" s="683">
        <f>W90+W91</f>
        <v>1086.5843214285715</v>
      </c>
      <c r="X89" s="683">
        <f>X90+X91</f>
        <v>1066.5407499999999</v>
      </c>
      <c r="Y89" s="428"/>
      <c r="Z89" s="428"/>
      <c r="AA89" s="428"/>
      <c r="AB89" s="428"/>
      <c r="AC89" s="428"/>
      <c r="AD89" s="428"/>
      <c r="AE89" s="428"/>
      <c r="AF89" s="428"/>
      <c r="AG89" s="500"/>
    </row>
    <row r="90" spans="2:33" ht="25.7" customHeight="1" x14ac:dyDescent="0.25">
      <c r="B90" s="413" t="s">
        <v>1859</v>
      </c>
      <c r="C90" s="222"/>
      <c r="D90" s="716">
        <f t="shared" ref="D90:V90" si="34">D14+D17+D27</f>
        <v>812.1</v>
      </c>
      <c r="E90" s="716">
        <f t="shared" si="34"/>
        <v>832.4</v>
      </c>
      <c r="F90" s="429">
        <f t="shared" si="34"/>
        <v>843</v>
      </c>
      <c r="G90" s="429">
        <f t="shared" si="34"/>
        <v>848.9</v>
      </c>
      <c r="H90" s="429">
        <f t="shared" si="34"/>
        <v>854.6</v>
      </c>
      <c r="I90" s="429">
        <f t="shared" si="34"/>
        <v>869.3</v>
      </c>
      <c r="J90" s="429">
        <f t="shared" si="34"/>
        <v>1792.5</v>
      </c>
      <c r="K90" s="429">
        <f t="shared" si="34"/>
        <v>1655.6000000000001</v>
      </c>
      <c r="L90" s="429">
        <f t="shared" si="34"/>
        <v>1188.2</v>
      </c>
      <c r="M90" s="429">
        <f t="shared" si="34"/>
        <v>1467.3000000000002</v>
      </c>
      <c r="N90" s="429">
        <f t="shared" si="34"/>
        <v>1351.8000000000002</v>
      </c>
      <c r="O90" s="429">
        <f t="shared" si="34"/>
        <v>1328.333333333333</v>
      </c>
      <c r="P90" s="429">
        <f t="shared" si="34"/>
        <v>1157.333333333333</v>
      </c>
      <c r="Q90" s="429">
        <f t="shared" si="34"/>
        <v>1038.7</v>
      </c>
      <c r="R90" s="429">
        <f t="shared" si="34"/>
        <v>1040.4000000000001</v>
      </c>
      <c r="S90" s="683">
        <f t="shared" si="34"/>
        <v>1041.1000000000001</v>
      </c>
      <c r="T90" s="683">
        <f t="shared" si="34"/>
        <v>1050.6000000000001</v>
      </c>
      <c r="U90" s="683">
        <f t="shared" si="34"/>
        <v>994.1</v>
      </c>
      <c r="V90" s="683">
        <f t="shared" si="34"/>
        <v>998.52857142857135</v>
      </c>
      <c r="W90" s="683">
        <f>W14+W17+W27</f>
        <v>1002.9285714285713</v>
      </c>
      <c r="X90" s="683">
        <f>X14+X17+X27</f>
        <v>1008</v>
      </c>
      <c r="Y90" s="428"/>
      <c r="Z90" s="428"/>
      <c r="AA90" s="428"/>
      <c r="AB90" s="428"/>
      <c r="AC90" s="428"/>
      <c r="AD90" s="428"/>
      <c r="AE90" s="428"/>
      <c r="AF90" s="428"/>
      <c r="AG90" s="428"/>
    </row>
    <row r="91" spans="2:33" ht="36" customHeight="1" x14ac:dyDescent="0.25">
      <c r="B91" s="413" t="s">
        <v>1860</v>
      </c>
      <c r="C91" s="222"/>
      <c r="D91" s="429">
        <f t="shared" ref="D91:U91" si="35">D18+D21+D24+D25+D26+D28+D32</f>
        <v>0</v>
      </c>
      <c r="E91" s="429">
        <f t="shared" si="35"/>
        <v>0</v>
      </c>
      <c r="F91" s="429">
        <f t="shared" si="35"/>
        <v>0</v>
      </c>
      <c r="G91" s="429">
        <f t="shared" si="35"/>
        <v>0</v>
      </c>
      <c r="H91" s="429">
        <f t="shared" si="35"/>
        <v>0</v>
      </c>
      <c r="I91" s="429">
        <f t="shared" si="35"/>
        <v>6.6417500000000018</v>
      </c>
      <c r="J91" s="429">
        <f t="shared" si="35"/>
        <v>1347.5887500000001</v>
      </c>
      <c r="K91" s="429">
        <f t="shared" si="35"/>
        <v>210.53775000000002</v>
      </c>
      <c r="L91" s="429">
        <f t="shared" si="35"/>
        <v>126.49775</v>
      </c>
      <c r="M91" s="429">
        <f t="shared" si="35"/>
        <v>2054.8777499999997</v>
      </c>
      <c r="N91" s="429">
        <f t="shared" si="35"/>
        <v>468.71259000000009</v>
      </c>
      <c r="O91" s="429">
        <f t="shared" si="35"/>
        <v>218.87491000000009</v>
      </c>
      <c r="P91" s="429">
        <f t="shared" si="35"/>
        <v>212.39574999999999</v>
      </c>
      <c r="Q91" s="429">
        <f t="shared" si="35"/>
        <v>179.47375</v>
      </c>
      <c r="R91" s="429">
        <f t="shared" si="35"/>
        <v>161.49975000000001</v>
      </c>
      <c r="S91" s="429">
        <f t="shared" si="35"/>
        <v>141.30375000000001</v>
      </c>
      <c r="T91" s="429">
        <f t="shared" si="35"/>
        <v>139.63974999999999</v>
      </c>
      <c r="U91" s="429">
        <f t="shared" si="35"/>
        <v>110.77174999999998</v>
      </c>
      <c r="V91" s="429">
        <f>V18+V21+V24+V25+V26+V28+V32</f>
        <v>83.72475</v>
      </c>
      <c r="W91" s="429">
        <f t="shared" ref="W91:AG91" si="36">W18+W21+W24+W25+W26+W28+W32</f>
        <v>83.655750000000012</v>
      </c>
      <c r="X91" s="428">
        <f t="shared" si="36"/>
        <v>58.540749999999996</v>
      </c>
      <c r="Y91" s="428">
        <f t="shared" si="36"/>
        <v>58.540749999999996</v>
      </c>
      <c r="Z91" s="428">
        <f t="shared" si="36"/>
        <v>58.540749999999996</v>
      </c>
      <c r="AA91" s="428">
        <f t="shared" si="36"/>
        <v>58.540749999999996</v>
      </c>
      <c r="AB91" s="428">
        <f t="shared" si="36"/>
        <v>58.369749999999996</v>
      </c>
      <c r="AC91" s="428">
        <f t="shared" si="36"/>
        <v>58.369749999999996</v>
      </c>
      <c r="AD91" s="428">
        <f t="shared" si="36"/>
        <v>58.369749999999996</v>
      </c>
      <c r="AE91" s="428">
        <f t="shared" si="36"/>
        <v>58.369749999999996</v>
      </c>
      <c r="AF91" s="428">
        <f t="shared" si="36"/>
        <v>40.289749999999998</v>
      </c>
      <c r="AG91" s="428">
        <f t="shared" si="36"/>
        <v>38.128749999999997</v>
      </c>
    </row>
    <row r="92" spans="2:33" ht="25.7" customHeight="1" x14ac:dyDescent="0.25">
      <c r="B92" s="473" t="s">
        <v>804</v>
      </c>
      <c r="C92" s="222"/>
      <c r="D92" s="683">
        <f t="shared" ref="D92:U92" si="37">D88-D89</f>
        <v>1410.9</v>
      </c>
      <c r="E92" s="683">
        <f t="shared" si="37"/>
        <v>1471.1999999999998</v>
      </c>
      <c r="F92" s="683">
        <f t="shared" si="37"/>
        <v>1477.1</v>
      </c>
      <c r="G92" s="683">
        <f t="shared" si="37"/>
        <v>1484</v>
      </c>
      <c r="H92" s="683">
        <f t="shared" si="37"/>
        <v>1492</v>
      </c>
      <c r="I92" s="683">
        <f t="shared" si="37"/>
        <v>1536.65825</v>
      </c>
      <c r="J92" s="683">
        <f t="shared" si="37"/>
        <v>1512.0112500000005</v>
      </c>
      <c r="K92" s="683">
        <f t="shared" si="37"/>
        <v>1641.8622499999999</v>
      </c>
      <c r="L92" s="683">
        <f t="shared" si="37"/>
        <v>1580.70225</v>
      </c>
      <c r="M92" s="683">
        <f t="shared" si="37"/>
        <v>1605.2222499999998</v>
      </c>
      <c r="N92" s="683">
        <f t="shared" si="37"/>
        <v>1583.2874099999999</v>
      </c>
      <c r="O92" s="683">
        <f t="shared" si="37"/>
        <v>1587.791756666667</v>
      </c>
      <c r="P92" s="683">
        <f t="shared" si="37"/>
        <v>1577.9709166666669</v>
      </c>
      <c r="Q92" s="683">
        <f t="shared" si="37"/>
        <v>1685.0262499999999</v>
      </c>
      <c r="R92" s="683">
        <f t="shared" si="37"/>
        <v>1693.3002499999998</v>
      </c>
      <c r="S92" s="683">
        <f t="shared" si="37"/>
        <v>1684.9962499999999</v>
      </c>
      <c r="T92" s="683">
        <f t="shared" si="37"/>
        <v>1706.4602499999996</v>
      </c>
      <c r="U92" s="683">
        <f t="shared" si="37"/>
        <v>1840.9282500000002</v>
      </c>
      <c r="V92" s="683">
        <f>V88-V89</f>
        <v>1847.4466785714285</v>
      </c>
      <c r="W92" s="683">
        <f>W88-W89</f>
        <v>1843.5156785714285</v>
      </c>
      <c r="X92" s="683">
        <f>X88-X89</f>
        <v>1867.4592500000001</v>
      </c>
      <c r="Y92" s="428"/>
      <c r="Z92" s="428"/>
      <c r="AA92" s="428"/>
      <c r="AB92" s="428"/>
      <c r="AC92" s="428"/>
      <c r="AD92" s="428"/>
      <c r="AE92" s="428"/>
      <c r="AF92" s="428"/>
      <c r="AG92" s="500"/>
    </row>
    <row r="93" spans="2:33" ht="20.45" customHeight="1" x14ac:dyDescent="0.25">
      <c r="B93" s="699" t="s">
        <v>805</v>
      </c>
      <c r="C93" s="700"/>
      <c r="D93" s="706">
        <f t="shared" ref="D93:I93" si="38">D12-D14-D17-D27</f>
        <v>1410.9</v>
      </c>
      <c r="E93" s="666">
        <f t="shared" si="38"/>
        <v>1471.1999999999998</v>
      </c>
      <c r="F93" s="666">
        <f t="shared" si="38"/>
        <v>1477.1000000000001</v>
      </c>
      <c r="G93" s="666">
        <f t="shared" si="38"/>
        <v>1484</v>
      </c>
      <c r="H93" s="666">
        <f t="shared" si="38"/>
        <v>1492</v>
      </c>
      <c r="I93" s="666">
        <f t="shared" si="38"/>
        <v>1543.2999999999997</v>
      </c>
      <c r="J93" s="707">
        <f>I93+($H$93-$E$93)/3</f>
        <v>1550.2333333333331</v>
      </c>
      <c r="K93" s="707">
        <f>J93+($H$93-$E$93)/3</f>
        <v>1557.1666666666665</v>
      </c>
      <c r="L93" s="707">
        <f>K93+($H$93-$E$93)/3</f>
        <v>1564.1</v>
      </c>
      <c r="M93" s="708">
        <f>L93+($H$93-$E$93)/3 +(M97-L97)</f>
        <v>1588.5533333333333</v>
      </c>
      <c r="N93" s="707">
        <f>M93+($H$93-$E$93)/3</f>
        <v>1595.4866666666667</v>
      </c>
      <c r="O93" s="707">
        <f>N93+($H$93-$E$93)/3</f>
        <v>1602.42</v>
      </c>
      <c r="P93" s="707">
        <f>O93+($H$93-$E$93)/3</f>
        <v>1609.3533333333335</v>
      </c>
      <c r="Q93" s="708">
        <f>P93+($H$93-$E$93)/3 + 0.06*Q97</f>
        <v>1688.207466666667</v>
      </c>
      <c r="R93" s="707">
        <f>Q93+($H$93-$E$93)/3</f>
        <v>1695.1408000000004</v>
      </c>
      <c r="S93" s="707">
        <f>R93+($H$93-$E$93)/3</f>
        <v>1702.0741333333337</v>
      </c>
      <c r="T93" s="707">
        <f>S93+($H$93-$E$93)/3</f>
        <v>1709.0074666666671</v>
      </c>
      <c r="U93" s="707">
        <f>T93+U94</f>
        <v>1822.5884450000005</v>
      </c>
      <c r="V93" s="707">
        <f>U93+V94</f>
        <v>1829.5217783333339</v>
      </c>
      <c r="W93" s="666">
        <f t="shared" ref="W93:AC93" si="39">V93+W94</f>
        <v>1836.4551116666673</v>
      </c>
      <c r="X93" s="701">
        <f t="shared" si="39"/>
        <v>1843.3884450000007</v>
      </c>
      <c r="Y93" s="701">
        <f t="shared" si="39"/>
        <v>1895.992911261334</v>
      </c>
      <c r="Z93" s="701">
        <f t="shared" si="39"/>
        <v>1902.9262445946674</v>
      </c>
      <c r="AA93" s="701">
        <f t="shared" si="39"/>
        <v>1909.8595779280008</v>
      </c>
      <c r="AB93" s="701">
        <f t="shared" si="39"/>
        <v>1916.7929112613342</v>
      </c>
      <c r="AC93" s="701">
        <f t="shared" si="39"/>
        <v>1958.1726553028836</v>
      </c>
      <c r="AD93" s="701">
        <f t="shared" ref="AD93" si="40">AC93+AD94</f>
        <v>1965.105988636217</v>
      </c>
      <c r="AE93" s="701">
        <f t="shared" ref="AE93" si="41">AD93+AE94</f>
        <v>1972.0393219695504</v>
      </c>
      <c r="AF93" s="701">
        <f t="shared" ref="AF93" si="42">AE93+AF94</f>
        <v>1978.9726553028838</v>
      </c>
      <c r="AG93" s="496"/>
    </row>
    <row r="94" spans="2:33" ht="20.45" customHeight="1" x14ac:dyDescent="0.25">
      <c r="B94" s="702" t="s">
        <v>1816</v>
      </c>
      <c r="C94" s="222"/>
      <c r="D94" s="716"/>
      <c r="E94" s="429"/>
      <c r="F94" s="429"/>
      <c r="G94" s="429"/>
      <c r="H94" s="429"/>
      <c r="I94" s="429"/>
      <c r="J94" s="684"/>
      <c r="K94" s="684"/>
      <c r="L94" s="684"/>
      <c r="M94" s="709"/>
      <c r="N94" s="684"/>
      <c r="O94" s="684"/>
      <c r="P94" s="684"/>
      <c r="Q94" s="709"/>
      <c r="R94" s="684"/>
      <c r="S94" s="684"/>
      <c r="T94" s="684"/>
      <c r="U94" s="684">
        <f>U95+U96</f>
        <v>113.58097833333339</v>
      </c>
      <c r="V94" s="684">
        <f>V95+V96</f>
        <v>6.933333333333394</v>
      </c>
      <c r="W94" s="684">
        <f>W95+W96</f>
        <v>6.933333333333394</v>
      </c>
      <c r="X94" s="428">
        <f t="shared" ref="X94:AC94" si="43">X95+X100*X97</f>
        <v>6.933333333333394</v>
      </c>
      <c r="Y94" s="428">
        <f t="shared" si="43"/>
        <v>52.604466261333393</v>
      </c>
      <c r="Z94" s="428">
        <f t="shared" si="43"/>
        <v>6.933333333333394</v>
      </c>
      <c r="AA94" s="428">
        <f t="shared" si="43"/>
        <v>6.933333333333394</v>
      </c>
      <c r="AB94" s="428">
        <f t="shared" si="43"/>
        <v>6.933333333333394</v>
      </c>
      <c r="AC94" s="428">
        <f t="shared" si="43"/>
        <v>41.379744041549394</v>
      </c>
      <c r="AD94" s="428">
        <f t="shared" ref="AD94:AF94" si="44">AD95+AD100*AD97</f>
        <v>6.933333333333394</v>
      </c>
      <c r="AE94" s="428">
        <f t="shared" si="44"/>
        <v>6.933333333333394</v>
      </c>
      <c r="AF94" s="428">
        <f t="shared" si="44"/>
        <v>6.933333333333394</v>
      </c>
      <c r="AG94" s="500"/>
    </row>
    <row r="95" spans="2:33" ht="28.35" customHeight="1" x14ac:dyDescent="0.25">
      <c r="B95" s="703" t="s">
        <v>1813</v>
      </c>
      <c r="C95" s="222"/>
      <c r="D95" s="716"/>
      <c r="E95" s="429"/>
      <c r="F95" s="429"/>
      <c r="G95" s="429"/>
      <c r="H95" s="429"/>
      <c r="I95" s="429"/>
      <c r="J95" s="684"/>
      <c r="K95" s="684"/>
      <c r="L95" s="684"/>
      <c r="M95" s="709"/>
      <c r="N95" s="684"/>
      <c r="O95" s="684"/>
      <c r="P95" s="684"/>
      <c r="Q95" s="709"/>
      <c r="R95" s="684"/>
      <c r="S95" s="684"/>
      <c r="T95" s="684"/>
      <c r="U95" s="684">
        <f>($H$93-$E$93)/3</f>
        <v>6.933333333333394</v>
      </c>
      <c r="V95" s="684">
        <f>($H$93-$E$93)/3</f>
        <v>6.933333333333394</v>
      </c>
      <c r="W95" s="684">
        <f>($H$93-$E$93)/3</f>
        <v>6.933333333333394</v>
      </c>
      <c r="X95" s="428">
        <f t="shared" ref="X95:AC95" si="45">W95</f>
        <v>6.933333333333394</v>
      </c>
      <c r="Y95" s="428">
        <f t="shared" si="45"/>
        <v>6.933333333333394</v>
      </c>
      <c r="Z95" s="428">
        <f t="shared" si="45"/>
        <v>6.933333333333394</v>
      </c>
      <c r="AA95" s="428">
        <f t="shared" si="45"/>
        <v>6.933333333333394</v>
      </c>
      <c r="AB95" s="428">
        <f t="shared" si="45"/>
        <v>6.933333333333394</v>
      </c>
      <c r="AC95" s="428">
        <f t="shared" si="45"/>
        <v>6.933333333333394</v>
      </c>
      <c r="AD95" s="428">
        <f t="shared" ref="AD95" si="46">AC95</f>
        <v>6.933333333333394</v>
      </c>
      <c r="AE95" s="428">
        <f t="shared" ref="AE95" si="47">AD95</f>
        <v>6.933333333333394</v>
      </c>
      <c r="AF95" s="428">
        <f t="shared" ref="AF95" si="48">AE95</f>
        <v>6.933333333333394</v>
      </c>
      <c r="AG95" s="500"/>
    </row>
    <row r="96" spans="2:33" ht="30.6" customHeight="1" x14ac:dyDescent="0.25">
      <c r="B96" s="704" t="s">
        <v>1814</v>
      </c>
      <c r="C96" s="705"/>
      <c r="D96" s="710"/>
      <c r="E96" s="667"/>
      <c r="F96" s="667"/>
      <c r="G96" s="667"/>
      <c r="H96" s="667"/>
      <c r="I96" s="667"/>
      <c r="J96" s="711"/>
      <c r="K96" s="711"/>
      <c r="L96" s="711"/>
      <c r="M96" s="712"/>
      <c r="N96" s="711"/>
      <c r="O96" s="711"/>
      <c r="P96" s="711"/>
      <c r="Q96" s="712"/>
      <c r="R96" s="711"/>
      <c r="S96" s="711"/>
      <c r="T96" s="711"/>
      <c r="U96" s="711">
        <f>U100*T97</f>
        <v>106.647645</v>
      </c>
      <c r="V96" s="711">
        <f>V100*U97</f>
        <v>0</v>
      </c>
      <c r="W96" s="667">
        <f t="shared" ref="W96:AC96" si="49">W100*V97</f>
        <v>0</v>
      </c>
      <c r="X96" s="713">
        <f t="shared" si="49"/>
        <v>0</v>
      </c>
      <c r="Y96" s="713">
        <f>Y100*X97</f>
        <v>43.975904</v>
      </c>
      <c r="Z96" s="713">
        <f t="shared" si="49"/>
        <v>0</v>
      </c>
      <c r="AA96" s="713">
        <f t="shared" si="49"/>
        <v>0</v>
      </c>
      <c r="AB96" s="713">
        <f t="shared" si="49"/>
        <v>0</v>
      </c>
      <c r="AC96" s="713">
        <f t="shared" si="49"/>
        <v>33.447126791999999</v>
      </c>
      <c r="AD96" s="713">
        <f t="shared" ref="AD96" si="50">AD100*AC97</f>
        <v>0</v>
      </c>
      <c r="AE96" s="713">
        <f t="shared" ref="AE96" si="51">AE100*AD97</f>
        <v>0</v>
      </c>
      <c r="AF96" s="713">
        <f t="shared" ref="AF96" si="52">AF100*AE97</f>
        <v>0</v>
      </c>
      <c r="AG96" s="500"/>
    </row>
    <row r="97" spans="2:33" ht="17.45" customHeight="1" x14ac:dyDescent="0.25">
      <c r="B97" s="547" t="s">
        <v>475</v>
      </c>
      <c r="C97" s="222" t="s">
        <v>476</v>
      </c>
      <c r="D97" s="716">
        <f>'Haver Pivoted'!GO88/1000</f>
        <v>983.86099999999999</v>
      </c>
      <c r="E97" s="429">
        <f>'Haver Pivoted'!GP88/1000</f>
        <v>1019.17</v>
      </c>
      <c r="F97" s="429">
        <f>'Haver Pivoted'!GQ88/1000</f>
        <v>1026.74</v>
      </c>
      <c r="G97" s="429">
        <f>'Haver Pivoted'!GR88/1000</f>
        <v>1034.364</v>
      </c>
      <c r="H97" s="429">
        <f>'Haver Pivoted'!GS88/1000</f>
        <v>1042.6969999999999</v>
      </c>
      <c r="I97" s="429">
        <f>'Haver Pivoted'!GT88/1000</f>
        <v>1068.172</v>
      </c>
      <c r="J97" s="429">
        <f>'Haver Pivoted'!GU88/1000</f>
        <v>1075.0809999999999</v>
      </c>
      <c r="K97" s="429">
        <f>'Haver Pivoted'!GV88/1000</f>
        <v>1080.296</v>
      </c>
      <c r="L97" s="429">
        <f>'Haver Pivoted'!GW88/1000</f>
        <v>1088.164</v>
      </c>
      <c r="M97" s="429">
        <f>'Haver Pivoted'!GX88/1000</f>
        <v>1105.684</v>
      </c>
      <c r="N97" s="429">
        <f>'Haver Pivoted'!GY88/1000</f>
        <v>1109.6220000000001</v>
      </c>
      <c r="O97" s="429">
        <f>'Haver Pivoted'!GZ88/1000</f>
        <v>1116.8399999999999</v>
      </c>
      <c r="P97" s="429">
        <f>'Haver Pivoted'!HA88/1000</f>
        <v>1126.2539999999999</v>
      </c>
      <c r="Q97" s="429">
        <f>'Haver Pivoted'!HB88/1000</f>
        <v>1198.68</v>
      </c>
      <c r="R97" s="429">
        <f>'Haver Pivoted'!HC88/1000</f>
        <v>1207.049</v>
      </c>
      <c r="S97" s="683">
        <f>'Haver Pivoted'!HD88/1000</f>
        <v>1214.451</v>
      </c>
      <c r="T97" s="683">
        <f>'Haver Pivoted'!HE88/1000</f>
        <v>1225.835</v>
      </c>
      <c r="U97" s="683">
        <f>'Haver Pivoted'!HF88/1000</f>
        <v>1339.9770000000001</v>
      </c>
      <c r="V97" s="683">
        <f>'Haver Pivoted'!HG88/1000</f>
        <v>1353.758</v>
      </c>
      <c r="W97" s="683">
        <f>'Haver Pivoted'!HH88/1000</f>
        <v>1361.2850000000001</v>
      </c>
      <c r="X97" s="683">
        <f>'Haver Pivoted'!HI88/1000</f>
        <v>1374.2470000000001</v>
      </c>
      <c r="Y97" s="428">
        <f t="shared" ref="Y97:AC97" si="53">X97+Y98</f>
        <v>1427.222904</v>
      </c>
      <c r="Z97" s="428">
        <f t="shared" si="53"/>
        <v>1436.222904</v>
      </c>
      <c r="AA97" s="428">
        <f t="shared" si="53"/>
        <v>1445.222904</v>
      </c>
      <c r="AB97" s="428">
        <f t="shared" si="53"/>
        <v>1454.222904</v>
      </c>
      <c r="AC97" s="428">
        <f t="shared" si="53"/>
        <v>1497.670030792</v>
      </c>
      <c r="AD97" s="428">
        <f t="shared" ref="AD97" si="54">AC97+AD98</f>
        <v>1507.670030792</v>
      </c>
      <c r="AE97" s="428">
        <f t="shared" ref="AE97" si="55">AD97+AE98</f>
        <v>1517.670030792</v>
      </c>
      <c r="AF97" s="428">
        <f t="shared" ref="AF97" si="56">AE97+AF98</f>
        <v>1527.670030792</v>
      </c>
      <c r="AG97" s="500"/>
    </row>
    <row r="98" spans="2:33" ht="17.45" customHeight="1" x14ac:dyDescent="0.25">
      <c r="B98" s="413" t="s">
        <v>1815</v>
      </c>
      <c r="C98" s="222"/>
      <c r="D98" s="716"/>
      <c r="E98" s="429"/>
      <c r="F98" s="429"/>
      <c r="G98" s="429"/>
      <c r="H98" s="429"/>
      <c r="I98" s="429"/>
      <c r="J98" s="429"/>
      <c r="K98" s="429"/>
      <c r="L98" s="429"/>
      <c r="M98" s="429"/>
      <c r="N98" s="429"/>
      <c r="O98" s="429"/>
      <c r="P98" s="429"/>
      <c r="Q98" s="429"/>
      <c r="R98" s="429"/>
      <c r="S98" s="683"/>
      <c r="T98" s="683"/>
      <c r="U98" s="683">
        <f>U96+U99</f>
        <v>114.647645</v>
      </c>
      <c r="V98" s="429">
        <f>V96+V99</f>
        <v>8</v>
      </c>
      <c r="W98" s="429">
        <f t="shared" ref="W98:AC98" si="57">W96+W99</f>
        <v>11</v>
      </c>
      <c r="X98" s="428">
        <f>X96+X99</f>
        <v>14</v>
      </c>
      <c r="Y98" s="428">
        <f>Y96+Y99</f>
        <v>52.975904</v>
      </c>
      <c r="Z98" s="428">
        <f t="shared" si="57"/>
        <v>9</v>
      </c>
      <c r="AA98" s="428">
        <f t="shared" si="57"/>
        <v>9</v>
      </c>
      <c r="AB98" s="428">
        <f t="shared" si="57"/>
        <v>9</v>
      </c>
      <c r="AC98" s="428">
        <f t="shared" si="57"/>
        <v>43.447126791999999</v>
      </c>
      <c r="AD98" s="428">
        <f t="shared" ref="AD98:AF98" si="58">AD96+AD99</f>
        <v>10</v>
      </c>
      <c r="AE98" s="428">
        <f t="shared" si="58"/>
        <v>10</v>
      </c>
      <c r="AF98" s="428">
        <f t="shared" si="58"/>
        <v>10</v>
      </c>
      <c r="AG98" s="500"/>
    </row>
    <row r="99" spans="2:33" ht="17.45" customHeight="1" x14ac:dyDescent="0.25">
      <c r="B99" s="404" t="s">
        <v>1818</v>
      </c>
      <c r="C99" s="222"/>
      <c r="D99" s="716"/>
      <c r="E99" s="429"/>
      <c r="F99" s="683"/>
      <c r="G99" s="683"/>
      <c r="H99" s="683"/>
      <c r="I99" s="683"/>
      <c r="J99" s="683"/>
      <c r="K99" s="683"/>
      <c r="L99" s="683"/>
      <c r="M99" s="683"/>
      <c r="N99" s="683"/>
      <c r="O99" s="683"/>
      <c r="P99" s="683"/>
      <c r="Q99" s="683"/>
      <c r="R99" s="683"/>
      <c r="S99" s="683"/>
      <c r="T99" s="683"/>
      <c r="U99" s="683">
        <v>8</v>
      </c>
      <c r="V99" s="429">
        <v>8</v>
      </c>
      <c r="W99" s="429">
        <v>11</v>
      </c>
      <c r="X99" s="428">
        <v>14</v>
      </c>
      <c r="Y99" s="428">
        <v>9</v>
      </c>
      <c r="Z99" s="428">
        <v>9</v>
      </c>
      <c r="AA99" s="428">
        <v>9</v>
      </c>
      <c r="AB99" s="428">
        <v>9</v>
      </c>
      <c r="AC99" s="428">
        <v>10</v>
      </c>
      <c r="AD99" s="428">
        <v>10</v>
      </c>
      <c r="AE99" s="428">
        <v>10</v>
      </c>
      <c r="AF99" s="428">
        <v>10</v>
      </c>
      <c r="AG99" s="500"/>
    </row>
    <row r="100" spans="2:33" ht="39" customHeight="1" x14ac:dyDescent="0.25">
      <c r="B100" s="404" t="s">
        <v>1819</v>
      </c>
      <c r="C100" s="222"/>
      <c r="D100" s="716"/>
      <c r="E100" s="429"/>
      <c r="F100" s="429"/>
      <c r="G100" s="429"/>
      <c r="H100" s="429"/>
      <c r="I100" s="667"/>
      <c r="J100" s="667"/>
      <c r="K100" s="667"/>
      <c r="L100" s="667"/>
      <c r="M100" s="667"/>
      <c r="N100" s="667"/>
      <c r="O100" s="667"/>
      <c r="P100" s="667"/>
      <c r="Q100" s="667"/>
      <c r="R100" s="667"/>
      <c r="S100" s="714"/>
      <c r="T100" s="714"/>
      <c r="U100" s="685">
        <v>8.6999999999999994E-2</v>
      </c>
      <c r="V100" s="668">
        <v>0</v>
      </c>
      <c r="W100" s="668">
        <v>0</v>
      </c>
      <c r="X100" s="715">
        <v>0</v>
      </c>
      <c r="Y100" s="715">
        <v>3.2000000000000001E-2</v>
      </c>
      <c r="Z100" s="715">
        <v>0</v>
      </c>
      <c r="AA100" s="715">
        <v>0</v>
      </c>
      <c r="AB100" s="715">
        <v>0</v>
      </c>
      <c r="AC100" s="715">
        <v>2.3E-2</v>
      </c>
      <c r="AD100" s="715">
        <v>0</v>
      </c>
      <c r="AE100" s="715">
        <v>0</v>
      </c>
      <c r="AF100" s="715">
        <v>0</v>
      </c>
      <c r="AG100" s="500"/>
    </row>
    <row r="101" spans="2:33" ht="49.7" customHeight="1" x14ac:dyDescent="0.25">
      <c r="B101" s="473" t="s">
        <v>1437</v>
      </c>
      <c r="C101" s="222"/>
      <c r="D101" s="716">
        <f t="shared" ref="D101:T101" si="59">D92-D93</f>
        <v>0</v>
      </c>
      <c r="E101" s="429">
        <f t="shared" si="59"/>
        <v>0</v>
      </c>
      <c r="F101" s="429">
        <f t="shared" si="59"/>
        <v>0</v>
      </c>
      <c r="G101" s="429">
        <f t="shared" si="59"/>
        <v>0</v>
      </c>
      <c r="H101" s="429">
        <f t="shared" si="59"/>
        <v>0</v>
      </c>
      <c r="I101" s="429">
        <f t="shared" si="59"/>
        <v>-6.6417499999997744</v>
      </c>
      <c r="J101" s="429">
        <f t="shared" si="59"/>
        <v>-38.222083333332648</v>
      </c>
      <c r="K101" s="429">
        <f t="shared" si="59"/>
        <v>84.695583333333389</v>
      </c>
      <c r="L101" s="429">
        <f t="shared" si="59"/>
        <v>16.60225000000014</v>
      </c>
      <c r="M101" s="429">
        <f t="shared" si="59"/>
        <v>16.668916666666519</v>
      </c>
      <c r="N101" s="429">
        <f t="shared" si="59"/>
        <v>-12.19925666666677</v>
      </c>
      <c r="O101" s="429">
        <f t="shared" si="59"/>
        <v>-14.628243333333103</v>
      </c>
      <c r="P101" s="429">
        <f t="shared" si="59"/>
        <v>-31.382416666666586</v>
      </c>
      <c r="Q101" s="429">
        <f t="shared" si="59"/>
        <v>-3.1812166666670691</v>
      </c>
      <c r="R101" s="429">
        <f t="shared" si="59"/>
        <v>-1.8405500000005759</v>
      </c>
      <c r="S101" s="683">
        <f t="shared" si="59"/>
        <v>-17.07788333333383</v>
      </c>
      <c r="T101" s="683">
        <f t="shared" si="59"/>
        <v>-2.5472166666675093</v>
      </c>
      <c r="U101" s="683">
        <f>U92-U93</f>
        <v>18.339804999999615</v>
      </c>
      <c r="V101" s="683">
        <f>V92-V93</f>
        <v>17.924900238094551</v>
      </c>
      <c r="W101" s="683">
        <f>W92-W93</f>
        <v>7.0605669047611173</v>
      </c>
      <c r="X101" s="683">
        <f>X92-X93</f>
        <v>24.070804999999382</v>
      </c>
      <c r="Y101" s="428">
        <f t="shared" ref="Y101:AC101" si="60">X101</f>
        <v>24.070804999999382</v>
      </c>
      <c r="Z101" s="428">
        <f t="shared" si="60"/>
        <v>24.070804999999382</v>
      </c>
      <c r="AA101" s="428">
        <f t="shared" si="60"/>
        <v>24.070804999999382</v>
      </c>
      <c r="AB101" s="428">
        <f t="shared" si="60"/>
        <v>24.070804999999382</v>
      </c>
      <c r="AC101" s="428">
        <f t="shared" si="60"/>
        <v>24.070804999999382</v>
      </c>
      <c r="AD101" s="428">
        <f t="shared" ref="AD101" si="61">AC101</f>
        <v>24.070804999999382</v>
      </c>
      <c r="AE101" s="428">
        <f t="shared" ref="AE101" si="62">AD101</f>
        <v>24.070804999999382</v>
      </c>
      <c r="AF101" s="428">
        <f t="shared" ref="AF101" si="63">AE101</f>
        <v>24.070804999999382</v>
      </c>
      <c r="AG101" s="496"/>
    </row>
    <row r="102" spans="2:33" ht="29.45" customHeight="1" x14ac:dyDescent="0.25">
      <c r="B102" s="265"/>
      <c r="C102" s="222"/>
      <c r="D102" s="204"/>
      <c r="E102" s="204"/>
      <c r="F102" s="204"/>
      <c r="G102" s="204"/>
      <c r="H102" s="204"/>
      <c r="I102" s="204"/>
      <c r="J102" s="204"/>
      <c r="K102" s="204"/>
      <c r="L102" s="204"/>
      <c r="M102" s="204"/>
      <c r="N102" s="204"/>
      <c r="O102" s="204"/>
      <c r="P102" s="204"/>
      <c r="Q102" s="204"/>
      <c r="R102" s="204"/>
      <c r="S102" s="204"/>
      <c r="T102" s="204"/>
      <c r="U102" s="204"/>
      <c r="V102" s="204"/>
      <c r="W102" s="204"/>
      <c r="X102" s="204"/>
      <c r="Y102" s="204"/>
      <c r="Z102" s="204"/>
      <c r="AA102" s="204"/>
      <c r="AB102" s="204"/>
      <c r="AC102" s="204"/>
    </row>
    <row r="103" spans="2:33" ht="16.7" customHeight="1" x14ac:dyDescent="0.25">
      <c r="B103" s="222"/>
      <c r="C103" s="222"/>
      <c r="S103" s="551"/>
      <c r="T103" s="551"/>
      <c r="U103" s="222"/>
      <c r="V103" s="222"/>
      <c r="W103" s="222"/>
      <c r="X103" s="222"/>
      <c r="Y103" s="222"/>
      <c r="Z103" s="222"/>
      <c r="AA103" s="222"/>
      <c r="AB103" s="222"/>
      <c r="AC103" s="222"/>
    </row>
    <row r="104" spans="2:33" ht="16.7" customHeight="1" x14ac:dyDescent="0.25">
      <c r="B104" s="222"/>
      <c r="C104" s="222"/>
      <c r="S104" s="204"/>
      <c r="T104" s="204"/>
      <c r="U104" s="222"/>
      <c r="V104" s="222"/>
      <c r="W104" s="222"/>
      <c r="X104" s="222"/>
      <c r="Y104" s="222"/>
      <c r="Z104" s="222"/>
      <c r="AA104" s="222"/>
      <c r="AB104" s="222"/>
      <c r="AC104" s="222"/>
    </row>
    <row r="105" spans="2:33" ht="16.7" customHeight="1" x14ac:dyDescent="0.25">
      <c r="B105" s="222"/>
      <c r="C105" s="222"/>
      <c r="S105" s="204"/>
      <c r="T105" s="204"/>
      <c r="U105" s="222"/>
      <c r="V105" s="222"/>
      <c r="W105" s="222"/>
      <c r="X105" s="222"/>
      <c r="Y105" s="222"/>
      <c r="Z105" s="222"/>
      <c r="AA105" s="222"/>
      <c r="AB105" s="222"/>
      <c r="AC105" s="222"/>
    </row>
    <row r="106" spans="2:33" ht="16.7" customHeight="1" x14ac:dyDescent="0.25">
      <c r="B106" s="222"/>
      <c r="C106" s="222"/>
      <c r="S106" s="204"/>
      <c r="T106" s="204"/>
      <c r="U106" s="429"/>
      <c r="V106" s="429"/>
      <c r="W106" s="429"/>
      <c r="X106" s="429"/>
      <c r="Y106" s="429"/>
      <c r="Z106" s="429"/>
      <c r="AA106" s="429"/>
      <c r="AB106" s="429"/>
      <c r="AC106" s="429"/>
      <c r="AD106" s="512"/>
    </row>
    <row r="107" spans="2:33" ht="16.7" customHeight="1" x14ac:dyDescent="0.25">
      <c r="B107" s="464"/>
      <c r="C107" s="222"/>
      <c r="S107" s="204"/>
      <c r="T107" s="204"/>
      <c r="U107" s="204"/>
      <c r="V107" s="204"/>
      <c r="W107" s="204"/>
      <c r="X107" s="204"/>
      <c r="Y107" s="204"/>
      <c r="Z107" s="204"/>
      <c r="AA107" s="204"/>
      <c r="AB107" s="204"/>
      <c r="AC107" s="204"/>
      <c r="AD107" s="512"/>
    </row>
    <row r="108" spans="2:33" ht="16.7" customHeight="1" x14ac:dyDescent="0.25">
      <c r="B108" s="464"/>
      <c r="C108" s="222"/>
      <c r="S108" s="204"/>
      <c r="T108" s="204"/>
      <c r="U108" s="204"/>
      <c r="V108" s="204"/>
      <c r="W108" s="204"/>
      <c r="X108" s="204"/>
      <c r="Y108" s="204"/>
      <c r="Z108" s="204"/>
      <c r="AA108" s="204"/>
      <c r="AB108" s="204"/>
      <c r="AC108" s="204"/>
      <c r="AD108" s="512"/>
    </row>
    <row r="109" spans="2:33" ht="16.7" customHeight="1" x14ac:dyDescent="0.25">
      <c r="B109" s="464"/>
      <c r="C109" s="222"/>
      <c r="S109" s="204"/>
      <c r="T109" s="204"/>
      <c r="U109" s="204"/>
      <c r="V109" s="204"/>
      <c r="W109" s="204"/>
      <c r="X109" s="204"/>
      <c r="Y109" s="204"/>
      <c r="Z109" s="204"/>
      <c r="AA109" s="204"/>
      <c r="AB109" s="204"/>
      <c r="AC109" s="204"/>
      <c r="AD109" s="512"/>
    </row>
    <row r="110" spans="2:33" ht="16.7" customHeight="1" x14ac:dyDescent="0.25">
      <c r="B110" s="222"/>
      <c r="C110" s="222"/>
      <c r="S110" s="222"/>
      <c r="T110" s="222"/>
      <c r="U110" s="429"/>
      <c r="V110" s="429"/>
      <c r="W110" s="429"/>
      <c r="X110" s="429"/>
      <c r="Y110" s="429"/>
      <c r="Z110" s="429"/>
      <c r="AA110" s="429"/>
      <c r="AB110" s="429"/>
      <c r="AC110" s="429"/>
      <c r="AD110" s="512"/>
    </row>
    <row r="111" spans="2:33" ht="16.7" customHeight="1" x14ac:dyDescent="0.25">
      <c r="B111" s="464"/>
      <c r="C111" s="222"/>
      <c r="S111" s="222"/>
      <c r="T111" s="222"/>
      <c r="U111" s="429"/>
      <c r="V111" s="429"/>
      <c r="W111" s="429"/>
      <c r="X111" s="429"/>
      <c r="Y111" s="429"/>
      <c r="Z111" s="429"/>
      <c r="AA111" s="429"/>
      <c r="AB111" s="429"/>
      <c r="AC111" s="429"/>
      <c r="AD111" s="512"/>
    </row>
    <row r="112" spans="2:33" ht="16.7" customHeight="1" x14ac:dyDescent="0.25">
      <c r="B112" s="464"/>
      <c r="C112" s="222"/>
      <c r="S112" s="222"/>
      <c r="T112" s="222"/>
      <c r="U112" s="204"/>
      <c r="V112" s="204"/>
      <c r="W112" s="204"/>
      <c r="X112" s="204"/>
      <c r="Y112" s="204"/>
      <c r="Z112" s="204"/>
      <c r="AA112" s="204"/>
      <c r="AB112" s="204"/>
      <c r="AC112" s="204"/>
      <c r="AD112" s="512"/>
    </row>
    <row r="113" spans="2:30" ht="16.7" customHeight="1" x14ac:dyDescent="0.25">
      <c r="B113" s="464"/>
      <c r="C113" s="222"/>
      <c r="S113" s="222"/>
      <c r="T113" s="222"/>
      <c r="U113" s="686"/>
      <c r="V113" s="686"/>
      <c r="W113" s="686"/>
      <c r="X113" s="686"/>
      <c r="Y113" s="686"/>
      <c r="Z113" s="686"/>
      <c r="AA113" s="686"/>
      <c r="AB113" s="686"/>
      <c r="AC113" s="686"/>
      <c r="AD113" s="512"/>
    </row>
    <row r="114" spans="2:30" ht="16.7" customHeight="1" x14ac:dyDescent="0.25">
      <c r="B114" s="222"/>
      <c r="C114" s="222"/>
      <c r="S114" s="204"/>
      <c r="T114" s="204"/>
      <c r="U114" s="204"/>
      <c r="V114" s="204"/>
      <c r="W114" s="204"/>
      <c r="X114" s="204"/>
      <c r="Y114" s="204"/>
      <c r="Z114" s="204"/>
      <c r="AA114" s="204"/>
      <c r="AB114" s="204"/>
      <c r="AC114" s="204"/>
      <c r="AD114" s="512"/>
    </row>
    <row r="115" spans="2:30" ht="22.5" customHeight="1" x14ac:dyDescent="0.25">
      <c r="B115" s="265"/>
      <c r="C115" s="222"/>
      <c r="D115" s="204"/>
      <c r="E115" s="204"/>
      <c r="F115" s="204"/>
      <c r="G115" s="204"/>
      <c r="H115" s="204"/>
      <c r="I115" s="204"/>
      <c r="J115" s="204"/>
      <c r="K115" s="204"/>
      <c r="L115" s="204"/>
      <c r="M115" s="204"/>
      <c r="N115" s="204"/>
      <c r="O115" s="204"/>
      <c r="P115" s="204"/>
      <c r="Q115" s="204"/>
      <c r="R115" s="204"/>
      <c r="S115" s="204"/>
      <c r="T115" s="204"/>
      <c r="U115" s="204"/>
      <c r="V115" s="204"/>
      <c r="W115" s="204"/>
      <c r="X115" s="204"/>
      <c r="Y115" s="204"/>
      <c r="Z115" s="204"/>
      <c r="AA115" s="204"/>
      <c r="AB115" s="204"/>
      <c r="AC115" s="204"/>
    </row>
    <row r="116" spans="2:30" ht="22.5" customHeight="1" x14ac:dyDescent="0.25">
      <c r="B116" s="265"/>
      <c r="C116" s="222"/>
      <c r="D116" s="204"/>
      <c r="E116" s="204"/>
      <c r="F116" s="204"/>
      <c r="G116" s="204"/>
      <c r="H116" s="204"/>
      <c r="I116" s="204"/>
      <c r="J116" s="204"/>
      <c r="K116" s="204"/>
      <c r="L116" s="204"/>
      <c r="M116" s="204"/>
      <c r="N116" s="204"/>
      <c r="O116" s="204"/>
      <c r="P116" s="204"/>
      <c r="Q116" s="204"/>
      <c r="R116" s="204"/>
      <c r="S116" s="204"/>
      <c r="T116" s="204"/>
      <c r="U116" s="204"/>
      <c r="V116" s="204"/>
      <c r="W116" s="204"/>
      <c r="X116" s="204"/>
      <c r="Y116" s="204"/>
      <c r="Z116" s="204"/>
      <c r="AA116" s="204"/>
      <c r="AB116" s="204"/>
      <c r="AC116" s="204"/>
    </row>
    <row r="117" spans="2:30" ht="38.450000000000003" customHeight="1" x14ac:dyDescent="0.25">
      <c r="B117" s="482"/>
      <c r="C117" s="718">
        <v>2022</v>
      </c>
      <c r="D117" s="719">
        <v>2023</v>
      </c>
      <c r="E117" s="719">
        <v>2024</v>
      </c>
      <c r="F117" s="720">
        <v>2025</v>
      </c>
      <c r="G117" s="204">
        <v>2026</v>
      </c>
      <c r="H117" s="204"/>
      <c r="I117" s="204"/>
      <c r="J117" s="204"/>
      <c r="K117" s="204"/>
      <c r="L117" s="204"/>
      <c r="M117" s="204"/>
      <c r="N117" s="204"/>
      <c r="O117" s="204"/>
      <c r="P117" s="204"/>
      <c r="Q117" s="204"/>
      <c r="R117" s="204"/>
      <c r="S117" s="204"/>
      <c r="T117" s="204"/>
      <c r="U117" s="204"/>
      <c r="V117" s="204"/>
      <c r="W117" s="204"/>
      <c r="X117" s="204"/>
      <c r="Y117" s="204"/>
      <c r="Z117" s="204"/>
      <c r="AA117" s="204"/>
      <c r="AB117" s="204"/>
      <c r="AC117" s="204"/>
    </row>
    <row r="118" spans="2:30" ht="38.450000000000003" customHeight="1" x14ac:dyDescent="0.25">
      <c r="B118" s="663" t="s">
        <v>1948</v>
      </c>
      <c r="C118" s="248">
        <v>1212.4870000000001</v>
      </c>
      <c r="D118" s="248">
        <v>1348.1969999999999</v>
      </c>
      <c r="E118" s="248">
        <v>1452.5329999999999</v>
      </c>
      <c r="F118" s="248">
        <v>1545.2090000000001</v>
      </c>
      <c r="G118" s="248">
        <v>1640.3119999999999</v>
      </c>
      <c r="H118" s="204"/>
      <c r="I118" s="204"/>
      <c r="J118" s="204"/>
      <c r="K118" s="204"/>
      <c r="L118" s="204"/>
      <c r="M118" s="204"/>
      <c r="N118" s="204"/>
      <c r="O118" s="204"/>
      <c r="P118" s="204"/>
      <c r="Q118" s="204"/>
      <c r="R118" s="204"/>
      <c r="S118" s="204"/>
      <c r="T118" s="204"/>
      <c r="U118" s="204"/>
      <c r="V118" s="204"/>
      <c r="W118" s="204"/>
      <c r="X118" s="204"/>
      <c r="Y118" s="204"/>
      <c r="Z118" s="204"/>
      <c r="AA118" s="204"/>
      <c r="AB118" s="204"/>
      <c r="AC118" s="204"/>
    </row>
    <row r="119" spans="2:30" ht="69" customHeight="1" x14ac:dyDescent="0.25">
      <c r="B119" s="265"/>
      <c r="C119" s="222"/>
      <c r="D119" s="204"/>
      <c r="E119" s="204"/>
      <c r="F119" s="204"/>
      <c r="G119" s="204"/>
      <c r="H119" s="204"/>
      <c r="I119" s="204"/>
      <c r="J119" s="204"/>
      <c r="K119" s="204"/>
      <c r="L119" s="204"/>
      <c r="M119" s="204"/>
      <c r="N119" s="204"/>
      <c r="O119" s="204"/>
      <c r="P119" s="204"/>
      <c r="Q119" s="204"/>
      <c r="R119" s="204"/>
      <c r="S119" s="204"/>
      <c r="T119" s="204"/>
      <c r="U119" s="204"/>
      <c r="V119" s="204"/>
      <c r="W119" s="204"/>
      <c r="X119" s="204"/>
      <c r="Y119" s="204"/>
      <c r="Z119" s="204"/>
      <c r="AA119" s="204"/>
      <c r="AB119" s="204"/>
      <c r="AC119" s="204"/>
    </row>
    <row r="120" spans="2:30" x14ac:dyDescent="0.25">
      <c r="B120" s="76" t="s">
        <v>1436</v>
      </c>
      <c r="D120" s="222"/>
      <c r="E120" s="222"/>
      <c r="F120" s="222"/>
      <c r="G120" s="222"/>
      <c r="H120" s="222"/>
      <c r="I120" s="222"/>
      <c r="J120" s="222"/>
      <c r="K120" s="222"/>
      <c r="L120" s="222"/>
      <c r="M120" s="204"/>
      <c r="N120" s="204"/>
      <c r="O120" s="204"/>
      <c r="P120" s="222"/>
    </row>
    <row r="121" spans="2:30" x14ac:dyDescent="0.25">
      <c r="B121" s="561" t="s">
        <v>811</v>
      </c>
      <c r="C121" s="424"/>
      <c r="D121" s="732">
        <v>2021</v>
      </c>
      <c r="E121" s="732">
        <v>2022</v>
      </c>
      <c r="F121" s="732">
        <v>2023</v>
      </c>
      <c r="G121" s="733">
        <v>2024</v>
      </c>
      <c r="R121" s="512"/>
    </row>
    <row r="122" spans="2:30" x14ac:dyDescent="0.25">
      <c r="B122" s="631" t="s">
        <v>812</v>
      </c>
      <c r="C122" s="739"/>
      <c r="D122" s="727">
        <v>3605.8330000000001</v>
      </c>
      <c r="E122" s="727">
        <v>2900</v>
      </c>
      <c r="F122" s="727">
        <f>E122*1.02</f>
        <v>2958</v>
      </c>
      <c r="G122" s="728">
        <f>F122*1.06</f>
        <v>3135.48</v>
      </c>
    </row>
    <row r="123" spans="2:30" x14ac:dyDescent="0.25">
      <c r="B123" s="631" t="s">
        <v>815</v>
      </c>
      <c r="C123" s="729"/>
      <c r="D123" s="722">
        <f>AVERAGE(Medicare!L10:O10)</f>
        <v>858.02499999999998</v>
      </c>
      <c r="E123" s="722">
        <f>AVERAGE(Medicare!P10:S10)</f>
        <v>917.59999999999991</v>
      </c>
      <c r="F123" s="722">
        <f>AVERAGE(Medicare!T10:W10)</f>
        <v>940.125</v>
      </c>
      <c r="G123" s="737">
        <f>AVERAGE(Medicare!X10:AA10)</f>
        <v>974.67254896253212</v>
      </c>
    </row>
    <row r="124" spans="2:30" ht="13.35" customHeight="1" x14ac:dyDescent="0.25">
      <c r="B124" s="631" t="s">
        <v>813</v>
      </c>
      <c r="C124" s="729"/>
      <c r="D124" s="722">
        <f>D122-D123</f>
        <v>2747.808</v>
      </c>
      <c r="E124" s="722">
        <f t="shared" ref="E124:G124" si="64">E122-E123</f>
        <v>1982.4</v>
      </c>
      <c r="F124" s="722">
        <f t="shared" si="64"/>
        <v>2017.875</v>
      </c>
      <c r="G124" s="737">
        <f t="shared" si="64"/>
        <v>2160.8074510374681</v>
      </c>
    </row>
    <row r="125" spans="2:30" x14ac:dyDescent="0.25">
      <c r="B125" s="631" t="s">
        <v>816</v>
      </c>
      <c r="C125" s="729"/>
      <c r="D125" s="722">
        <f>AVERAGE(L12:O12)</f>
        <v>3640.3999999999996</v>
      </c>
      <c r="E125" s="722">
        <f>AVERAGE(P12:S12)</f>
        <v>2903.3749999999995</v>
      </c>
      <c r="F125" s="722">
        <f>AVERAGE(T12:W12)</f>
        <v>2925.5750000000003</v>
      </c>
      <c r="G125" s="737">
        <f>AVERAGE(X12:AA12)</f>
        <v>2991.6109343728181</v>
      </c>
    </row>
    <row r="126" spans="2:30" x14ac:dyDescent="0.25">
      <c r="B126" s="631" t="s">
        <v>815</v>
      </c>
      <c r="C126" s="729"/>
      <c r="D126" s="722">
        <f>AVERAGE(Medicare!L10:O10)</f>
        <v>858.02499999999998</v>
      </c>
      <c r="E126" s="722">
        <f>AVERAGE(Medicare!P10:S10)</f>
        <v>917.59999999999991</v>
      </c>
      <c r="F126" s="722">
        <f>AVERAGE(Medicare!T10:W10)</f>
        <v>940.125</v>
      </c>
      <c r="G126" s="737">
        <f>AVERAGE(Medicare!X10:AA10)</f>
        <v>974.67254896253212</v>
      </c>
    </row>
    <row r="127" spans="2:30" x14ac:dyDescent="0.25">
      <c r="B127" s="631" t="s">
        <v>535</v>
      </c>
      <c r="C127" s="729"/>
      <c r="D127" s="722">
        <f>AVERAGE(L31:O31)</f>
        <v>1587.6399999999999</v>
      </c>
      <c r="E127" s="722">
        <f>AVERAGE(P31:S31)</f>
        <v>1673.6939333333335</v>
      </c>
      <c r="F127" s="722">
        <f>AVERAGE(T31:W31)</f>
        <v>1799.3932004166672</v>
      </c>
      <c r="G127" s="737">
        <f>AVERAGE(X31:AA31)</f>
        <v>1888.0417946960006</v>
      </c>
    </row>
    <row r="128" spans="2:30" ht="27.6" customHeight="1" x14ac:dyDescent="0.25">
      <c r="B128" s="730" t="s">
        <v>814</v>
      </c>
      <c r="C128" s="344"/>
      <c r="D128" s="621"/>
      <c r="E128" s="734">
        <v>1.157</v>
      </c>
      <c r="F128" s="734">
        <v>1.0109999999999999</v>
      </c>
      <c r="G128" s="738">
        <v>1.0529999999999999</v>
      </c>
    </row>
    <row r="129" spans="2:7" x14ac:dyDescent="0.25">
      <c r="B129" s="222" t="s">
        <v>817</v>
      </c>
      <c r="D129" s="735">
        <f>D125-D122</f>
        <v>34.566999999999553</v>
      </c>
      <c r="E129" s="735">
        <f>E125-E122</f>
        <v>3.3749999999995453</v>
      </c>
      <c r="F129" s="735">
        <f>F125-F122</f>
        <v>-32.424999999999727</v>
      </c>
      <c r="G129" s="735">
        <f t="shared" ref="G129" si="65">G125-G122</f>
        <v>-143.86906562718195</v>
      </c>
    </row>
    <row r="131" spans="2:7" x14ac:dyDescent="0.2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85546875" defaultRowHeight="15" outlineLevelRow="1" x14ac:dyDescent="0.25"/>
  <cols>
    <col min="2" max="2" width="71.140625" customWidth="1"/>
    <col min="4" max="6" width="12.140625" customWidth="1"/>
    <col min="7" max="7" width="10.42578125" customWidth="1"/>
    <col min="8" max="8" width="12.140625" customWidth="1"/>
    <col min="9" max="9" width="12" customWidth="1"/>
    <col min="10" max="29" width="13.28515625" customWidth="1"/>
  </cols>
  <sheetData>
    <row r="1" spans="1:29" ht="18" customHeight="1" x14ac:dyDescent="0.25">
      <c r="B1" s="1460" t="s">
        <v>465</v>
      </c>
      <c r="C1" s="1460"/>
      <c r="D1" s="1460"/>
      <c r="E1" s="1460"/>
      <c r="F1" s="1460"/>
      <c r="G1" s="1460"/>
      <c r="H1" s="1460"/>
      <c r="I1" s="1460"/>
      <c r="J1" s="1460"/>
      <c r="K1" s="1460"/>
      <c r="L1" s="1460"/>
      <c r="M1" s="1460"/>
      <c r="N1" s="1460"/>
      <c r="O1" s="1460"/>
      <c r="P1" s="1460"/>
      <c r="Q1" s="1460"/>
      <c r="R1" s="1460"/>
      <c r="S1" s="1460"/>
      <c r="T1" s="1460"/>
      <c r="U1" s="1460"/>
      <c r="V1" s="1460"/>
      <c r="W1" s="1460"/>
      <c r="X1" s="1460"/>
      <c r="Y1" s="1460"/>
      <c r="Z1" s="1460"/>
      <c r="AA1" s="1460"/>
      <c r="AB1" s="1460"/>
      <c r="AC1" s="1460"/>
    </row>
    <row r="2" spans="1:29" ht="34.5" hidden="1" customHeight="1" outlineLevel="1" x14ac:dyDescent="0.25">
      <c r="B2" s="1358" t="s">
        <v>864</v>
      </c>
      <c r="C2" s="1396"/>
      <c r="D2" s="1396"/>
      <c r="E2" s="1396"/>
      <c r="F2" s="1396"/>
      <c r="G2" s="1396"/>
      <c r="H2" s="1396"/>
      <c r="I2" s="1396"/>
      <c r="J2" s="1396"/>
      <c r="K2" s="1396"/>
      <c r="L2" s="1396"/>
      <c r="M2" s="1396"/>
      <c r="N2" s="1396"/>
      <c r="O2" s="1396"/>
      <c r="P2" s="1396"/>
      <c r="Q2" s="1396"/>
      <c r="R2" s="1396"/>
      <c r="S2" s="1396"/>
      <c r="T2" s="1396"/>
      <c r="U2" s="1396"/>
      <c r="V2" s="1396"/>
      <c r="W2" s="1396"/>
      <c r="X2" s="1396"/>
      <c r="Y2" s="1396"/>
      <c r="Z2" s="1396"/>
      <c r="AA2" s="1396"/>
      <c r="AB2" s="1396"/>
      <c r="AC2" s="1396"/>
    </row>
    <row r="3" spans="1:29" ht="3" hidden="1" customHeight="1" outlineLevel="1" x14ac:dyDescent="0.25">
      <c r="B3" s="1396"/>
      <c r="C3" s="1396"/>
      <c r="D3" s="1396"/>
      <c r="E3" s="1396"/>
      <c r="F3" s="1396"/>
      <c r="G3" s="1396"/>
      <c r="H3" s="1396"/>
      <c r="I3" s="1396"/>
      <c r="J3" s="1396"/>
      <c r="K3" s="1396"/>
      <c r="L3" s="1396"/>
      <c r="M3" s="1396"/>
      <c r="N3" s="1396"/>
      <c r="O3" s="1396"/>
      <c r="P3" s="1396"/>
      <c r="Q3" s="1396"/>
      <c r="R3" s="1396"/>
      <c r="S3" s="1396"/>
      <c r="T3" s="1396"/>
      <c r="U3" s="1396"/>
      <c r="V3" s="1396"/>
      <c r="W3" s="1396"/>
      <c r="X3" s="1396"/>
      <c r="Y3" s="1396"/>
      <c r="Z3" s="1396"/>
      <c r="AA3" s="1396"/>
      <c r="AB3" s="1396"/>
      <c r="AC3" s="1396"/>
    </row>
    <row r="4" spans="1:29" ht="10.35" hidden="1" customHeight="1" outlineLevel="1" x14ac:dyDescent="0.25">
      <c r="B4" s="1396"/>
      <c r="C4" s="1396"/>
      <c r="D4" s="1396"/>
      <c r="E4" s="1396"/>
      <c r="F4" s="1396"/>
      <c r="G4" s="1396"/>
      <c r="H4" s="1396"/>
      <c r="I4" s="1396"/>
      <c r="J4" s="1396"/>
      <c r="K4" s="1396"/>
      <c r="L4" s="1396"/>
      <c r="M4" s="1396"/>
      <c r="N4" s="1396"/>
      <c r="O4" s="1396"/>
      <c r="P4" s="1396"/>
      <c r="Q4" s="1396"/>
      <c r="R4" s="1396"/>
      <c r="S4" s="1396"/>
      <c r="T4" s="1396"/>
      <c r="U4" s="1396"/>
      <c r="V4" s="1396"/>
      <c r="W4" s="1396"/>
      <c r="X4" s="1396"/>
      <c r="Y4" s="1396"/>
      <c r="Z4" s="1396"/>
      <c r="AA4" s="1396"/>
      <c r="AB4" s="1396"/>
      <c r="AC4" s="1396"/>
    </row>
    <row r="5" spans="1:29" ht="14.25" hidden="1" customHeight="1" outlineLevel="1" x14ac:dyDescent="0.25">
      <c r="B5" s="1396"/>
      <c r="C5" s="1396"/>
      <c r="D5" s="1396"/>
      <c r="E5" s="1396"/>
      <c r="F5" s="1396"/>
      <c r="G5" s="1396"/>
      <c r="H5" s="1396"/>
      <c r="I5" s="1396"/>
      <c r="J5" s="1396"/>
      <c r="K5" s="1396"/>
      <c r="L5" s="1396"/>
      <c r="M5" s="1396"/>
      <c r="N5" s="1396"/>
      <c r="O5" s="1396"/>
      <c r="P5" s="1396"/>
      <c r="Q5" s="1396"/>
      <c r="R5" s="1396"/>
      <c r="S5" s="1396"/>
      <c r="T5" s="1396"/>
      <c r="U5" s="1396"/>
      <c r="V5" s="1396"/>
      <c r="W5" s="1396"/>
      <c r="X5" s="1396"/>
      <c r="Y5" s="1396"/>
      <c r="Z5" s="1396"/>
      <c r="AA5" s="1396"/>
      <c r="AB5" s="1396"/>
      <c r="AC5" s="1396"/>
    </row>
    <row r="6" spans="1:29" ht="14.25" hidden="1" customHeight="1" outlineLevel="1" x14ac:dyDescent="0.25">
      <c r="B6" s="1396"/>
      <c r="C6" s="1396"/>
      <c r="D6" s="1396"/>
      <c r="E6" s="1396"/>
      <c r="F6" s="1396"/>
      <c r="G6" s="1396"/>
      <c r="H6" s="1396"/>
      <c r="I6" s="1396"/>
      <c r="J6" s="1396"/>
      <c r="K6" s="1396"/>
      <c r="L6" s="1396"/>
      <c r="M6" s="1396"/>
      <c r="N6" s="1396"/>
      <c r="O6" s="1396"/>
      <c r="P6" s="1396"/>
      <c r="Q6" s="1396"/>
      <c r="R6" s="1396"/>
      <c r="S6" s="1396"/>
      <c r="T6" s="1396"/>
      <c r="U6" s="1396"/>
      <c r="V6" s="1396"/>
      <c r="W6" s="1396"/>
      <c r="X6" s="1396"/>
      <c r="Y6" s="1396"/>
      <c r="Z6" s="1396"/>
      <c r="AA6" s="1396"/>
      <c r="AB6" s="1396"/>
      <c r="AC6" s="1396"/>
    </row>
    <row r="7" spans="1:29" x14ac:dyDescent="0.25">
      <c r="B7" s="731" t="s">
        <v>333</v>
      </c>
      <c r="C7" s="247"/>
      <c r="D7" s="247"/>
      <c r="E7" s="247"/>
      <c r="F7" s="247"/>
      <c r="G7" s="247"/>
      <c r="H7" s="248"/>
      <c r="I7" s="248"/>
      <c r="J7" s="248"/>
      <c r="K7" s="248"/>
      <c r="L7" s="248"/>
      <c r="M7" s="248"/>
      <c r="N7" s="248"/>
      <c r="O7" s="248"/>
      <c r="P7" s="248"/>
      <c r="Q7" s="248"/>
      <c r="R7" s="248"/>
      <c r="S7" s="248"/>
      <c r="T7" s="248"/>
      <c r="U7" s="248"/>
    </row>
    <row r="8" spans="1:29" ht="14.85" customHeight="1" x14ac:dyDescent="0.25">
      <c r="B8" s="691" t="s">
        <v>304</v>
      </c>
      <c r="C8" s="692"/>
      <c r="D8" s="695" t="s">
        <v>280</v>
      </c>
      <c r="E8" s="696"/>
      <c r="F8" s="696"/>
      <c r="G8" s="696"/>
      <c r="H8" s="696"/>
      <c r="I8" s="696"/>
      <c r="J8" s="696"/>
      <c r="K8" s="696"/>
      <c r="L8" s="696"/>
      <c r="M8" s="696"/>
      <c r="N8" s="696"/>
      <c r="O8" s="696"/>
      <c r="P8" s="1379"/>
      <c r="Q8" s="1379"/>
      <c r="R8" s="1379"/>
      <c r="S8" s="1379"/>
      <c r="T8" s="1379"/>
      <c r="U8" s="1379"/>
      <c r="V8" s="1367"/>
      <c r="W8" s="1408" t="s">
        <v>281</v>
      </c>
      <c r="X8" s="1377"/>
      <c r="Y8" s="1377"/>
      <c r="Z8" s="1377"/>
      <c r="AA8" s="1377"/>
      <c r="AB8" s="1377"/>
      <c r="AC8" s="1409"/>
    </row>
    <row r="9" spans="1:29" ht="14.85" customHeight="1" x14ac:dyDescent="0.25">
      <c r="B9" s="693"/>
      <c r="C9" s="694"/>
      <c r="D9" s="200">
        <v>2018</v>
      </c>
      <c r="E9" s="1371">
        <v>2019</v>
      </c>
      <c r="F9" s="1372"/>
      <c r="G9" s="1372"/>
      <c r="H9" s="1373"/>
      <c r="I9" s="1371">
        <v>2020</v>
      </c>
      <c r="J9" s="1372"/>
      <c r="K9" s="1372"/>
      <c r="L9" s="1372"/>
      <c r="M9" s="1371">
        <v>2021</v>
      </c>
      <c r="N9" s="1372"/>
      <c r="O9" s="1372"/>
      <c r="P9" s="1372"/>
      <c r="Q9" s="1371">
        <v>2022</v>
      </c>
      <c r="R9" s="1403"/>
      <c r="S9" s="1403"/>
      <c r="T9" s="1373"/>
      <c r="U9" s="270"/>
      <c r="V9" s="270">
        <v>2023</v>
      </c>
      <c r="W9" s="552"/>
      <c r="X9" s="242"/>
      <c r="Y9" s="1368">
        <v>2024</v>
      </c>
      <c r="Z9" s="1381"/>
      <c r="AA9" s="1381"/>
      <c r="AB9" s="1370"/>
      <c r="AC9" s="233">
        <v>2025</v>
      </c>
    </row>
    <row r="10" spans="1:29" x14ac:dyDescent="0.25">
      <c r="B10" s="693"/>
      <c r="C10" s="694"/>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7" t="s">
        <v>282</v>
      </c>
      <c r="U10" s="196" t="s">
        <v>283</v>
      </c>
      <c r="V10" s="268" t="s">
        <v>284</v>
      </c>
      <c r="W10" s="252" t="s">
        <v>238</v>
      </c>
      <c r="X10" s="253" t="s">
        <v>282</v>
      </c>
      <c r="Y10" s="251" t="s">
        <v>283</v>
      </c>
      <c r="Z10" s="249" t="s">
        <v>284</v>
      </c>
      <c r="AA10" s="252" t="s">
        <v>238</v>
      </c>
      <c r="AB10" s="252" t="s">
        <v>282</v>
      </c>
      <c r="AC10" s="254" t="s">
        <v>283</v>
      </c>
    </row>
    <row r="11" spans="1:29" ht="15" customHeight="1" x14ac:dyDescent="0.25">
      <c r="B11" s="1453" t="s">
        <v>466</v>
      </c>
      <c r="C11" s="1454"/>
      <c r="D11" s="660"/>
      <c r="E11" s="724"/>
      <c r="F11" s="724"/>
      <c r="G11" s="724"/>
      <c r="H11" s="291"/>
      <c r="I11" s="291"/>
      <c r="J11" s="291"/>
      <c r="K11" s="291"/>
      <c r="L11" s="291"/>
      <c r="M11" s="571"/>
      <c r="N11" s="571"/>
      <c r="O11" s="571"/>
      <c r="P11" s="291"/>
      <c r="Q11" s="291"/>
      <c r="R11" s="291"/>
      <c r="S11" s="291"/>
      <c r="T11" s="269"/>
      <c r="U11" s="291"/>
      <c r="V11" s="291"/>
      <c r="W11" s="198"/>
      <c r="X11" s="198"/>
      <c r="Y11" s="198"/>
      <c r="Z11" s="198"/>
      <c r="AA11" s="198"/>
      <c r="AB11" s="198"/>
      <c r="AC11" s="199"/>
    </row>
    <row r="12" spans="1:29" ht="17.100000000000001" customHeight="1" x14ac:dyDescent="0.25">
      <c r="A12" t="s">
        <v>1865</v>
      </c>
      <c r="B12" s="746" t="s">
        <v>467</v>
      </c>
      <c r="C12" s="222" t="s">
        <v>468</v>
      </c>
      <c r="D12" s="591">
        <f>'Haver Pivoted'!GO31</f>
        <v>2223</v>
      </c>
      <c r="E12" s="551">
        <f>'Haver Pivoted'!GP31</f>
        <v>2303.6</v>
      </c>
      <c r="F12" s="551">
        <f>'Haver Pivoted'!GQ31</f>
        <v>2320.1</v>
      </c>
      <c r="G12" s="551">
        <f>'Haver Pivoted'!GR31</f>
        <v>2332.9</v>
      </c>
      <c r="H12" s="551">
        <f>'Haver Pivoted'!GS31</f>
        <v>2346.6</v>
      </c>
      <c r="I12" s="551">
        <f>'Haver Pivoted'!GT31</f>
        <v>2412.6</v>
      </c>
      <c r="J12" s="551">
        <f>'Haver Pivoted'!GU31</f>
        <v>4652.1000000000004</v>
      </c>
      <c r="K12" s="551">
        <f>'Haver Pivoted'!GV31</f>
        <v>3508</v>
      </c>
      <c r="L12" s="551">
        <f>'Haver Pivoted'!GW31</f>
        <v>2895.4</v>
      </c>
      <c r="M12" s="551">
        <f>'Haver Pivoted'!GX31</f>
        <v>5127.3999999999996</v>
      </c>
      <c r="N12" s="551">
        <f>'Haver Pivoted'!GY31</f>
        <v>3403.8</v>
      </c>
      <c r="O12" s="551">
        <f>'Haver Pivoted'!GZ31</f>
        <v>3135</v>
      </c>
      <c r="P12" s="551">
        <f>'Haver Pivoted'!HA31</f>
        <v>2947.7</v>
      </c>
      <c r="Q12" s="551">
        <f>'Haver Pivoted'!HB31</f>
        <v>2903.2</v>
      </c>
      <c r="R12" s="551">
        <f>'Haver Pivoted'!HC31</f>
        <v>2895.2</v>
      </c>
      <c r="S12" s="554">
        <f>'Haver Pivoted'!HD31</f>
        <v>2867.4</v>
      </c>
      <c r="T12" s="554">
        <f>'Haver Pivoted'!HE31</f>
        <v>2896.7</v>
      </c>
      <c r="U12" s="554">
        <f>'Haver Pivoted'!HF31</f>
        <v>2945.8</v>
      </c>
      <c r="V12" s="554">
        <f>'Haver Pivoted'!HG31</f>
        <v>2929.7</v>
      </c>
      <c r="W12" s="675">
        <f t="shared" ref="W12:AC12" si="0">SUM(W14:W39)-W38</f>
        <v>3090.5375833333328</v>
      </c>
      <c r="X12" s="675">
        <f t="shared" si="0"/>
        <v>3095.0163452380957</v>
      </c>
      <c r="Y12" s="675">
        <f t="shared" si="0"/>
        <v>3153.9095033937006</v>
      </c>
      <c r="Z12" s="675">
        <f t="shared" si="0"/>
        <v>3184.3470745763211</v>
      </c>
      <c r="AA12" s="675">
        <f t="shared" si="0"/>
        <v>3214.5144630515365</v>
      </c>
      <c r="AB12" s="675">
        <f t="shared" si="0"/>
        <v>3236.2860387035612</v>
      </c>
      <c r="AC12" s="723">
        <f t="shared" si="0"/>
        <v>3289.1980495279026</v>
      </c>
    </row>
    <row r="13" spans="1:29" ht="15.6" customHeight="1" x14ac:dyDescent="0.25">
      <c r="A13" t="s">
        <v>1865</v>
      </c>
      <c r="B13" s="745" t="s">
        <v>801</v>
      </c>
      <c r="C13" s="222" t="s">
        <v>828</v>
      </c>
      <c r="D13" s="256">
        <v>30</v>
      </c>
      <c r="E13" s="211">
        <v>30</v>
      </c>
      <c r="F13" s="211">
        <v>30</v>
      </c>
      <c r="G13" s="211">
        <v>30</v>
      </c>
      <c r="H13" s="211">
        <v>30</v>
      </c>
      <c r="I13" s="211">
        <v>30</v>
      </c>
      <c r="J13" s="211">
        <v>30</v>
      </c>
      <c r="K13" s="207">
        <v>30.2</v>
      </c>
      <c r="L13" s="207">
        <v>30.2</v>
      </c>
      <c r="M13" s="207">
        <f>'Haver Pivoted'!GX89</f>
        <v>34.4</v>
      </c>
      <c r="N13" s="207">
        <f>'Haver Pivoted'!GY89</f>
        <v>34.4</v>
      </c>
      <c r="O13" s="207">
        <f>'Haver Pivoted'!GZ89</f>
        <v>218.933333333333</v>
      </c>
      <c r="P13" s="207">
        <f>'Haver Pivoted'!HA89</f>
        <v>223.13333333333301</v>
      </c>
      <c r="Q13" s="207">
        <f>'Haver Pivoted'!HB89</f>
        <v>94.3</v>
      </c>
      <c r="R13" s="207">
        <f>'Haver Pivoted'!HC89</f>
        <v>94.3</v>
      </c>
      <c r="S13" s="207">
        <f>'Haver Pivoted'!HD89</f>
        <v>94.3</v>
      </c>
      <c r="T13" s="207">
        <f>'Haver Pivoted'!HE89</f>
        <v>94.3</v>
      </c>
      <c r="U13" s="675">
        <v>34</v>
      </c>
      <c r="V13" s="551">
        <v>34</v>
      </c>
      <c r="W13" s="675">
        <v>34</v>
      </c>
      <c r="X13" s="675">
        <v>34</v>
      </c>
      <c r="Y13" s="675">
        <v>34</v>
      </c>
      <c r="Z13" s="675">
        <v>34</v>
      </c>
      <c r="AA13" s="675">
        <v>34</v>
      </c>
      <c r="AB13" s="675">
        <v>34</v>
      </c>
      <c r="AC13" s="723">
        <v>34</v>
      </c>
    </row>
    <row r="14" spans="1:29" ht="15" customHeight="1" x14ac:dyDescent="0.25">
      <c r="A14" t="s">
        <v>1862</v>
      </c>
      <c r="B14" s="669" t="s">
        <v>1854</v>
      </c>
      <c r="C14" s="222"/>
      <c r="D14" s="591">
        <f>'Unemployment Insurance'!D20+'Unemployment Insurance'!D19</f>
        <v>27.1</v>
      </c>
      <c r="E14" s="551">
        <f>'Unemployment Insurance'!E20+'Unemployment Insurance'!E19</f>
        <v>30.5</v>
      </c>
      <c r="F14" s="551">
        <f>'Unemployment Insurance'!F20+'Unemployment Insurance'!F19</f>
        <v>27.7</v>
      </c>
      <c r="G14" s="551">
        <f>'Unemployment Insurance'!G20+'Unemployment Insurance'!G19</f>
        <v>25</v>
      </c>
      <c r="H14" s="551">
        <f>'Unemployment Insurance'!H20+'Unemployment Insurance'!H19</f>
        <v>26.7</v>
      </c>
      <c r="I14" s="551">
        <f>'Unemployment Insurance'!I20+'Unemployment Insurance'!I19</f>
        <v>40.9</v>
      </c>
      <c r="J14" s="551">
        <f>'Unemployment Insurance'!J20+'Unemployment Insurance'!J19</f>
        <v>951.4</v>
      </c>
      <c r="K14" s="551">
        <f>'Unemployment Insurance'!K20+'Unemployment Insurance'!K19</f>
        <v>802.3</v>
      </c>
      <c r="L14" s="551">
        <f>'Unemployment Insurance'!L20+'Unemployment Insurance'!L19</f>
        <v>323.5</v>
      </c>
      <c r="M14" s="551">
        <f>'Unemployment Insurance'!M20+'Unemployment Insurance'!M19</f>
        <v>583.5</v>
      </c>
      <c r="N14" s="551">
        <f>'Unemployment Insurance'!N20+'Unemployment Insurance'!N19</f>
        <v>451.8</v>
      </c>
      <c r="O14" s="551">
        <f>'Unemployment Insurance'!O20+'Unemployment Insurance'!O19</f>
        <v>226.8</v>
      </c>
      <c r="P14" s="551">
        <f>'Unemployment Insurance'!P20+'Unemployment Insurance'!P19</f>
        <v>33.9</v>
      </c>
      <c r="Q14" s="551">
        <f>'Unemployment Insurance'!Q20+'Unemployment Insurance'!Q19</f>
        <v>26.2</v>
      </c>
      <c r="R14" s="551">
        <f>'Unemployment Insurance'!R20+'Unemployment Insurance'!R19</f>
        <v>21.4</v>
      </c>
      <c r="S14" s="551">
        <f>'Unemployment Insurance'!S20+'Unemployment Insurance'!S19</f>
        <v>19.600000000000001</v>
      </c>
      <c r="T14" s="551">
        <f>'Unemployment Insurance'!T20+'Unemployment Insurance'!T19</f>
        <v>22.1</v>
      </c>
      <c r="U14" s="551">
        <f>'Unemployment Insurance'!U20+'Unemployment Insurance'!U19</f>
        <v>22</v>
      </c>
      <c r="V14" s="742">
        <f>V15+V16</f>
        <v>22.62857142857143</v>
      </c>
      <c r="W14" s="675">
        <f>'Unemployment Insurance'!W20+'Unemployment Insurance'!W19</f>
        <v>22.62857142857143</v>
      </c>
      <c r="X14" s="675">
        <f>'Unemployment Insurance'!X20+'Unemployment Insurance'!X19</f>
        <v>22.7</v>
      </c>
      <c r="Y14" s="675">
        <f>'Unemployment Insurance'!Y20+'Unemployment Insurance'!Y19</f>
        <v>23.25714285714286</v>
      </c>
      <c r="Z14" s="675">
        <f>'Unemployment Insurance'!Z20+'Unemployment Insurance'!Z19</f>
        <v>24.514285714285716</v>
      </c>
      <c r="AA14" s="675">
        <f>'Unemployment Insurance'!AA20+'Unemployment Insurance'!AA19</f>
        <v>24.985714285714291</v>
      </c>
      <c r="AB14" s="675">
        <f>'Unemployment Insurance'!AB20+'Unemployment Insurance'!AB19</f>
        <v>25.83428571428572</v>
      </c>
      <c r="AC14" s="723">
        <f>'Unemployment Insurance'!AC20+'Unemployment Insurance'!AC19</f>
        <v>26.689142857142865</v>
      </c>
    </row>
    <row r="15" spans="1:29" x14ac:dyDescent="0.25">
      <c r="B15" s="404" t="s">
        <v>203</v>
      </c>
      <c r="C15" s="222"/>
      <c r="D15" s="591"/>
      <c r="E15" s="551"/>
      <c r="F15" s="551"/>
      <c r="G15" s="551"/>
      <c r="H15" s="551"/>
      <c r="I15" s="551"/>
      <c r="J15" s="551"/>
      <c r="K15" s="551"/>
      <c r="L15" s="551"/>
      <c r="M15" s="551"/>
      <c r="N15" s="551"/>
      <c r="O15" s="551"/>
      <c r="P15" s="551"/>
      <c r="Q15" s="551"/>
      <c r="R15" s="551"/>
      <c r="S15" s="551"/>
      <c r="T15" s="551"/>
      <c r="U15" s="551"/>
      <c r="V15" s="551">
        <f>'Unemployment Insurance'!V19</f>
        <v>0</v>
      </c>
      <c r="W15" s="675"/>
      <c r="X15" s="675"/>
      <c r="Y15" s="675"/>
      <c r="Z15" s="675"/>
      <c r="AA15" s="675"/>
      <c r="AB15" s="675"/>
      <c r="AC15" s="723"/>
    </row>
    <row r="16" spans="1:29" x14ac:dyDescent="0.25">
      <c r="B16" s="404" t="s">
        <v>205</v>
      </c>
      <c r="C16" s="222"/>
      <c r="D16" s="591"/>
      <c r="E16" s="551"/>
      <c r="F16" s="551"/>
      <c r="G16" s="551"/>
      <c r="H16" s="551"/>
      <c r="I16" s="551"/>
      <c r="J16" s="551"/>
      <c r="K16" s="551"/>
      <c r="L16" s="551"/>
      <c r="M16" s="551"/>
      <c r="N16" s="551"/>
      <c r="O16" s="551"/>
      <c r="P16" s="551"/>
      <c r="Q16" s="551"/>
      <c r="R16" s="551"/>
      <c r="S16" s="551"/>
      <c r="T16" s="551"/>
      <c r="U16" s="551"/>
      <c r="V16" s="551">
        <f>'Unemployment Insurance'!V20</f>
        <v>22.62857142857143</v>
      </c>
      <c r="W16" s="675"/>
      <c r="X16" s="675"/>
      <c r="Y16" s="675"/>
      <c r="Z16" s="675"/>
      <c r="AA16" s="675"/>
      <c r="AB16" s="675"/>
      <c r="AC16" s="723"/>
    </row>
    <row r="17" spans="1:101" ht="17.850000000000001" customHeight="1" x14ac:dyDescent="0.25">
      <c r="A17" t="s">
        <v>1862</v>
      </c>
      <c r="B17" s="669" t="s">
        <v>55</v>
      </c>
      <c r="C17" s="222"/>
      <c r="D17" s="591">
        <f>Medicare!D10</f>
        <v>755</v>
      </c>
      <c r="E17" s="551">
        <f>Medicare!E10</f>
        <v>771.9</v>
      </c>
      <c r="F17" s="551">
        <f>Medicare!F10</f>
        <v>785.3</v>
      </c>
      <c r="G17" s="551">
        <f>Medicare!G10</f>
        <v>793.9</v>
      </c>
      <c r="H17" s="551">
        <f>Medicare!H10</f>
        <v>797.9</v>
      </c>
      <c r="I17" s="551">
        <f>Medicare!I10</f>
        <v>798.4</v>
      </c>
      <c r="J17" s="551">
        <f>Medicare!J10</f>
        <v>811.1</v>
      </c>
      <c r="K17" s="551">
        <f>Medicare!K10</f>
        <v>823.1</v>
      </c>
      <c r="L17" s="551">
        <f>Medicare!L10</f>
        <v>834.5</v>
      </c>
      <c r="M17" s="551">
        <f>Medicare!M10</f>
        <v>849.4</v>
      </c>
      <c r="N17" s="551">
        <f>Medicare!N10</f>
        <v>865.6</v>
      </c>
      <c r="O17" s="551">
        <f>Medicare!O10</f>
        <v>882.6</v>
      </c>
      <c r="P17" s="551">
        <f>Medicare!P10</f>
        <v>900.3</v>
      </c>
      <c r="Q17" s="551">
        <f>Medicare!Q10</f>
        <v>918.2</v>
      </c>
      <c r="R17" s="551">
        <f>Medicare!R10</f>
        <v>924.7</v>
      </c>
      <c r="S17" s="551">
        <f>Medicare!S10</f>
        <v>927.2</v>
      </c>
      <c r="T17" s="551">
        <f>Medicare!T10</f>
        <v>934.2</v>
      </c>
      <c r="U17" s="551">
        <f>Medicare!U10</f>
        <v>938.1</v>
      </c>
      <c r="V17" s="742">
        <f>Medicare!V10</f>
        <v>941.9</v>
      </c>
      <c r="W17" s="675">
        <f>Medicare!W10</f>
        <v>946.3</v>
      </c>
      <c r="X17" s="675">
        <f>Medicare!X10</f>
        <v>951.3</v>
      </c>
      <c r="Y17" s="675">
        <f>Medicare!Y10</f>
        <v>960.04445976512864</v>
      </c>
      <c r="Z17" s="675">
        <f>Medicare!Z10</f>
        <v>982.29155475727316</v>
      </c>
      <c r="AA17" s="675">
        <f>Medicare!AA10</f>
        <v>1005.0541813277266</v>
      </c>
      <c r="AB17" s="675">
        <f>Medicare!AB10</f>
        <v>1020.2898522178465</v>
      </c>
      <c r="AC17" s="723">
        <f>Medicare!AC10</f>
        <v>1035.7564814699977</v>
      </c>
    </row>
    <row r="18" spans="1:101" ht="18" customHeight="1" x14ac:dyDescent="0.25">
      <c r="A18" t="s">
        <v>1862</v>
      </c>
      <c r="B18" s="670" t="s">
        <v>469</v>
      </c>
      <c r="C18" s="222"/>
      <c r="D18" s="591"/>
      <c r="E18" s="551"/>
      <c r="F18" s="551"/>
      <c r="G18" s="551"/>
      <c r="H18" s="551">
        <f>'Rebate Checks (expired)'!H10 +'Rebate Checks (expired)'!H11</f>
        <v>0</v>
      </c>
      <c r="I18" s="551">
        <f>'Rebate Checks (expired)'!I10 +'Rebate Checks (expired)'!I11</f>
        <v>0</v>
      </c>
      <c r="J18" s="551">
        <f>'Rebate Checks (expired)'!J10 +'Rebate Checks (expired)'!J11</f>
        <v>1078.0999999999999</v>
      </c>
      <c r="K18" s="551">
        <f>'Rebate Checks (expired)'!K10 +'Rebate Checks (expired)'!K11</f>
        <v>15.6</v>
      </c>
      <c r="L18" s="551">
        <f>'Rebate Checks (expired)'!L10 +'Rebate Checks (expired)'!L11</f>
        <v>5</v>
      </c>
      <c r="M18" s="551">
        <f>'Rebate Checks (expired)'!M10 +'Rebate Checks (expired)'!M11</f>
        <v>1933.6999999999998</v>
      </c>
      <c r="N18" s="551">
        <f>'Rebate Checks (expired)'!N10 +'Rebate Checks (expired)'!N11</f>
        <v>290.10000000000002</v>
      </c>
      <c r="O18" s="551">
        <f>'Rebate Checks (expired)'!O10 +'Rebate Checks (expired)'!O11</f>
        <v>38.9</v>
      </c>
      <c r="P18" s="551">
        <f>'Rebate Checks (expired)'!P10 +'Rebate Checks (expired)'!P11</f>
        <v>14.2</v>
      </c>
      <c r="Q18" s="551">
        <f>'Rebate Checks (expired)'!Q10 +'Rebate Checks (expired)'!Q11</f>
        <v>0</v>
      </c>
      <c r="R18" s="551">
        <f>'Rebate Checks (expired)'!Q10 +'Rebate Checks (expired)'!R11</f>
        <v>0</v>
      </c>
      <c r="S18" s="551">
        <f>'Rebate Checks (expired)'!S10 +'Rebate Checks (expired)'!S11</f>
        <v>0</v>
      </c>
      <c r="T18" s="551">
        <f>'Rebate Checks (expired)'!T10 +'Rebate Checks (expired)'!T11</f>
        <v>0</v>
      </c>
      <c r="U18" s="551">
        <f>'Rebate Checks (expired)'!U10 +'Rebate Checks (expired)'!U11</f>
        <v>0</v>
      </c>
      <c r="V18" s="742">
        <f>V19+V20</f>
        <v>0</v>
      </c>
      <c r="W18" s="675">
        <f>'Rebate Checks (expired)'!W10 +'Rebate Checks (expired)'!W11</f>
        <v>0</v>
      </c>
      <c r="X18" s="675">
        <f>'Rebate Checks (expired)'!X10 +'Rebate Checks (expired)'!X11</f>
        <v>0</v>
      </c>
      <c r="Y18" s="675">
        <f>'Rebate Checks (expired)'!Y10 +'Rebate Checks (expired)'!Y11</f>
        <v>0</v>
      </c>
      <c r="Z18" s="675">
        <f>'Rebate Checks (expired)'!Z10 +'Rebate Checks (expired)'!Z11</f>
        <v>0</v>
      </c>
      <c r="AA18" s="675">
        <f>'Rebate Checks (expired)'!AA10 +'Rebate Checks (expired)'!AA11</f>
        <v>0</v>
      </c>
      <c r="AB18" s="675">
        <f>'Rebate Checks (expired)'!AB10 +'Rebate Checks (expired)'!AB11</f>
        <v>0</v>
      </c>
      <c r="AC18" s="723">
        <f>'Rebate Checks (expired)'!AC10 +'Rebate Checks (expired)'!AC11</f>
        <v>0</v>
      </c>
    </row>
    <row r="19" spans="1:101" ht="18" customHeight="1" x14ac:dyDescent="0.25">
      <c r="B19" s="671" t="s">
        <v>1855</v>
      </c>
      <c r="C19" s="222"/>
      <c r="D19" s="591"/>
      <c r="E19" s="551"/>
      <c r="F19" s="551"/>
      <c r="G19" s="551"/>
      <c r="H19" s="551"/>
      <c r="I19" s="551"/>
      <c r="J19" s="551"/>
      <c r="K19" s="551"/>
      <c r="L19" s="551"/>
      <c r="M19" s="551"/>
      <c r="N19" s="551"/>
      <c r="O19" s="551"/>
      <c r="P19" s="551"/>
      <c r="Q19" s="551"/>
      <c r="R19" s="551"/>
      <c r="S19" s="551"/>
      <c r="T19" s="551"/>
      <c r="U19" s="551"/>
      <c r="V19" s="551">
        <v>0</v>
      </c>
      <c r="W19" s="675"/>
      <c r="X19" s="675"/>
      <c r="Y19" s="675"/>
      <c r="Z19" s="675"/>
      <c r="AA19" s="675"/>
      <c r="AB19" s="675"/>
      <c r="AC19" s="723"/>
    </row>
    <row r="20" spans="1:101" ht="18" customHeight="1" x14ac:dyDescent="0.25">
      <c r="B20" s="671" t="s">
        <v>1856</v>
      </c>
      <c r="C20" s="222"/>
      <c r="D20" s="591"/>
      <c r="E20" s="551"/>
      <c r="F20" s="551"/>
      <c r="G20" s="551"/>
      <c r="H20" s="551"/>
      <c r="I20" s="551"/>
      <c r="J20" s="551"/>
      <c r="K20" s="551"/>
      <c r="L20" s="551"/>
      <c r="M20" s="551"/>
      <c r="N20" s="551"/>
      <c r="O20" s="551"/>
      <c r="P20" s="551"/>
      <c r="Q20" s="551"/>
      <c r="R20" s="551"/>
      <c r="S20" s="551"/>
      <c r="T20" s="551"/>
      <c r="U20" s="551"/>
      <c r="V20" s="551">
        <v>0</v>
      </c>
      <c r="W20" s="675"/>
      <c r="X20" s="675"/>
      <c r="Y20" s="675"/>
      <c r="Z20" s="675"/>
      <c r="AA20" s="675"/>
      <c r="AB20" s="675"/>
      <c r="AC20" s="723"/>
    </row>
    <row r="21" spans="1:101" ht="18" customHeight="1" x14ac:dyDescent="0.25">
      <c r="A21" t="s">
        <v>1862</v>
      </c>
      <c r="B21" s="672" t="s">
        <v>49</v>
      </c>
      <c r="C21" s="222"/>
      <c r="D21" s="383">
        <f>'Provider Relief (expired)'!D11</f>
        <v>0</v>
      </c>
      <c r="E21" s="389">
        <f>'Provider Relief (expired)'!E11</f>
        <v>0</v>
      </c>
      <c r="F21" s="389">
        <f>'Provider Relief (expired)'!F11</f>
        <v>0</v>
      </c>
      <c r="G21" s="389">
        <f>'Provider Relief (expired)'!G11</f>
        <v>0</v>
      </c>
      <c r="H21" s="389">
        <f>'Provider Relief (expired)'!H11</f>
        <v>0</v>
      </c>
      <c r="I21" s="389">
        <f>'Provider Relief (expired)'!I11</f>
        <v>0</v>
      </c>
      <c r="J21" s="389">
        <f>'Provider Relief (expired)'!J11</f>
        <v>160.9</v>
      </c>
      <c r="K21" s="389">
        <f>'Provider Relief (expired)'!K11</f>
        <v>58.4</v>
      </c>
      <c r="L21" s="389">
        <f>'Provider Relief (expired)'!L11</f>
        <v>34.5</v>
      </c>
      <c r="M21" s="389">
        <f>'Provider Relief (expired)'!M11</f>
        <v>21.4</v>
      </c>
      <c r="N21" s="389">
        <f>'Provider Relief (expired)'!N11</f>
        <v>13.3</v>
      </c>
      <c r="O21" s="389">
        <f>'Provider Relief (expired)'!O11</f>
        <v>18.7</v>
      </c>
      <c r="P21" s="389">
        <f>'Provider Relief (expired)'!P11</f>
        <v>32.200000000000003</v>
      </c>
      <c r="Q21" s="389">
        <f>'Provider Relief (expired)'!Q11</f>
        <v>26.9</v>
      </c>
      <c r="R21" s="389">
        <f>'Provider Relief (expired)'!R11</f>
        <v>20</v>
      </c>
      <c r="S21" s="389">
        <f>'Provider Relief (expired)'!S11</f>
        <v>8.1</v>
      </c>
      <c r="T21" s="389">
        <f>'Provider Relief (expired)'!T11</f>
        <v>4.9000000000000004</v>
      </c>
      <c r="U21" s="389">
        <v>0</v>
      </c>
      <c r="V21" s="742">
        <v>0</v>
      </c>
      <c r="W21" s="675">
        <v>0</v>
      </c>
      <c r="X21" s="675">
        <v>0</v>
      </c>
      <c r="Y21" s="675">
        <v>0</v>
      </c>
      <c r="Z21" s="675">
        <v>0</v>
      </c>
      <c r="AA21" s="675">
        <v>0</v>
      </c>
      <c r="AB21" s="675">
        <v>0</v>
      </c>
      <c r="AC21" s="723">
        <v>0</v>
      </c>
    </row>
    <row r="22" spans="1:101" ht="21.6" customHeight="1" x14ac:dyDescent="0.25">
      <c r="B22" s="413" t="s">
        <v>470</v>
      </c>
      <c r="C22" s="222"/>
      <c r="D22" s="591"/>
      <c r="E22" s="551"/>
      <c r="F22" s="551"/>
      <c r="G22" s="551"/>
      <c r="H22" s="551"/>
      <c r="I22" s="551"/>
      <c r="J22" s="551">
        <f>'PPP (expired)'!J53</f>
        <v>57.2</v>
      </c>
      <c r="K22" s="551">
        <f>'PPP (expired)'!K53</f>
        <v>81.2</v>
      </c>
      <c r="L22" s="551">
        <f>'PPP (expired)'!L53</f>
        <v>24.4</v>
      </c>
      <c r="M22" s="551">
        <f>'PPP (expired)'!M53</f>
        <v>11.7</v>
      </c>
      <c r="N22" s="551">
        <f>'PPP (expired)'!N53</f>
        <v>28.5</v>
      </c>
      <c r="O22" s="551">
        <f>'PPP (expired)'!O53</f>
        <v>18.8</v>
      </c>
      <c r="P22" s="551">
        <f>'PPP (expired)'!P53</f>
        <v>1.6</v>
      </c>
      <c r="Q22" s="551">
        <f>'PPP (expired)'!Q53</f>
        <v>0</v>
      </c>
      <c r="R22" s="551">
        <f>'PPP (expired)'!R53</f>
        <v>0</v>
      </c>
      <c r="S22" s="551">
        <f>'PPP (expired)'!S53</f>
        <v>0</v>
      </c>
      <c r="T22" s="551">
        <f>'PPP (expired)'!T53</f>
        <v>0</v>
      </c>
      <c r="U22" s="551">
        <f>'PPP (expired)'!U53</f>
        <v>0</v>
      </c>
      <c r="V22" s="551">
        <f>'PPP (expired)'!V53</f>
        <v>0</v>
      </c>
      <c r="W22" s="675">
        <f>'PPP (expired)'!W53</f>
        <v>0</v>
      </c>
      <c r="X22" s="675">
        <f>'PPP (expired)'!X53</f>
        <v>0</v>
      </c>
      <c r="Y22" s="675">
        <f>'PPP (expired)'!Y53</f>
        <v>0</v>
      </c>
      <c r="Z22" s="675">
        <f>'PPP (expired)'!Z53</f>
        <v>0</v>
      </c>
      <c r="AA22" s="675">
        <f>'PPP (expired)'!AA53</f>
        <v>0</v>
      </c>
      <c r="AB22" s="675">
        <f>'PPP (expired)'!AB53</f>
        <v>0</v>
      </c>
      <c r="AC22" s="675">
        <f>'PPP (expired)'!AC53</f>
        <v>0</v>
      </c>
    </row>
    <row r="23" spans="1:101" ht="22.35" customHeight="1" x14ac:dyDescent="0.25">
      <c r="B23" s="413" t="s">
        <v>218</v>
      </c>
      <c r="C23" s="681"/>
      <c r="D23" s="383"/>
      <c r="E23" s="389"/>
      <c r="F23" s="389"/>
      <c r="G23" s="389"/>
      <c r="H23" s="389"/>
      <c r="I23" s="389"/>
      <c r="J23" s="389"/>
      <c r="K23" s="389"/>
      <c r="L23" s="389"/>
      <c r="M23" s="551">
        <f>'ARP Quarterly'!C4</f>
        <v>0</v>
      </c>
      <c r="N23" s="551">
        <f>'ARP Quarterly'!D4</f>
        <v>0</v>
      </c>
      <c r="O23" s="551">
        <f>'ARP Quarterly'!E4</f>
        <v>3.1040000000000418</v>
      </c>
      <c r="P23" s="551">
        <f>'ARP Quarterly'!F4</f>
        <v>19.719000000000005</v>
      </c>
      <c r="Q23" s="551">
        <f>'ARP Quarterly'!G4</f>
        <v>19.719000000000005</v>
      </c>
      <c r="R23" s="551">
        <f>'ARP Quarterly'!H4</f>
        <v>19.719000000000005</v>
      </c>
      <c r="S23" s="551">
        <f>'ARP Quarterly'!I4</f>
        <v>19.719000000000005</v>
      </c>
      <c r="T23" s="551">
        <f>'ARP Quarterly'!J4</f>
        <v>1.4159999999999999</v>
      </c>
      <c r="U23" s="551">
        <f>'ARP Quarterly'!K4</f>
        <v>1.4159999999999999</v>
      </c>
      <c r="V23" s="551">
        <f>'ARP Quarterly'!L4</f>
        <v>1.4159999999999999</v>
      </c>
      <c r="W23" s="675">
        <f>'ARP Quarterly'!M4</f>
        <v>1.4159999999999999</v>
      </c>
      <c r="X23" s="675">
        <f>'ARP Quarterly'!N4</f>
        <v>1.4790000000000001</v>
      </c>
      <c r="Y23" s="675">
        <f>'ARP Quarterly'!O4</f>
        <v>1.4790000000000001</v>
      </c>
      <c r="Z23" s="675">
        <f>'ARP Quarterly'!P4</f>
        <v>1.4790000000000001</v>
      </c>
      <c r="AA23" s="675">
        <f>'ARP Quarterly'!Q4</f>
        <v>1.4790000000000001</v>
      </c>
      <c r="AB23" s="675">
        <f>'ARP Quarterly'!R4</f>
        <v>1.63</v>
      </c>
      <c r="AC23" s="675">
        <f>'ARP Quarterly'!S4</f>
        <v>1.63</v>
      </c>
      <c r="AE23" s="681"/>
      <c r="AF23" s="681"/>
      <c r="AG23" s="681"/>
      <c r="AH23" s="681"/>
      <c r="AI23" s="681"/>
      <c r="AJ23" s="681"/>
      <c r="AK23" s="681"/>
      <c r="AL23" s="681"/>
      <c r="AM23" s="681"/>
      <c r="AN23" s="681"/>
      <c r="AO23" s="681"/>
      <c r="AP23" s="681"/>
      <c r="AQ23" s="681"/>
      <c r="AR23" s="681"/>
      <c r="AS23" s="681"/>
      <c r="AT23" s="681"/>
      <c r="AU23" s="681"/>
      <c r="AV23" s="681"/>
      <c r="AW23" s="681"/>
      <c r="AX23" s="681"/>
      <c r="AY23" s="681"/>
      <c r="AZ23" s="681"/>
      <c r="BA23" s="681"/>
      <c r="BB23" s="681"/>
      <c r="BC23" s="681"/>
      <c r="BD23" s="681"/>
      <c r="BE23" s="681"/>
      <c r="BF23" s="681"/>
      <c r="BG23" s="681"/>
      <c r="BH23" s="681"/>
      <c r="BI23" s="681"/>
      <c r="BJ23" s="681"/>
      <c r="BK23" s="681"/>
      <c r="BL23" s="681"/>
      <c r="BM23" s="681"/>
      <c r="BN23" s="681"/>
      <c r="BO23" s="681"/>
      <c r="BP23" s="681"/>
      <c r="BQ23" s="681"/>
      <c r="BR23" s="681"/>
      <c r="BS23" s="681"/>
      <c r="BT23" s="681"/>
      <c r="BU23" s="681"/>
      <c r="BV23" s="681"/>
      <c r="BW23" s="681"/>
      <c r="BX23" s="681"/>
      <c r="BY23" s="681"/>
      <c r="BZ23" s="681"/>
      <c r="CA23" s="681"/>
      <c r="CB23" s="681"/>
      <c r="CC23" s="681"/>
      <c r="CD23" s="681"/>
      <c r="CE23" s="681"/>
      <c r="CF23" s="681"/>
      <c r="CG23" s="681"/>
      <c r="CH23" s="681"/>
      <c r="CI23" s="681"/>
      <c r="CJ23" s="681"/>
      <c r="CK23" s="681"/>
      <c r="CL23" s="681"/>
      <c r="CM23" s="681"/>
      <c r="CN23" s="681"/>
      <c r="CO23" s="681"/>
      <c r="CP23" s="681"/>
      <c r="CQ23" s="681"/>
      <c r="CR23" s="681"/>
      <c r="CS23" s="681"/>
      <c r="CT23" s="681"/>
      <c r="CU23" s="681"/>
      <c r="CV23" s="681"/>
      <c r="CW23" s="681"/>
    </row>
    <row r="24" spans="1:101" ht="36.6" customHeight="1" x14ac:dyDescent="0.25">
      <c r="B24" s="230" t="s">
        <v>1438</v>
      </c>
      <c r="C24" s="222"/>
      <c r="D24" s="591">
        <f>D85</f>
        <v>0</v>
      </c>
      <c r="E24" s="551">
        <f t="shared" ref="E24:AC24" si="1">E85</f>
        <v>0</v>
      </c>
      <c r="F24" s="551">
        <f t="shared" si="1"/>
        <v>0</v>
      </c>
      <c r="G24" s="551">
        <f t="shared" si="1"/>
        <v>0</v>
      </c>
      <c r="H24" s="551">
        <f t="shared" si="1"/>
        <v>0</v>
      </c>
      <c r="I24" s="551">
        <f t="shared" si="1"/>
        <v>6.6417500000000018</v>
      </c>
      <c r="J24" s="551">
        <f t="shared" si="1"/>
        <v>51.388749999999995</v>
      </c>
      <c r="K24" s="551">
        <f t="shared" si="1"/>
        <v>55.337750000000007</v>
      </c>
      <c r="L24" s="551">
        <f t="shared" si="1"/>
        <v>62.597749999999998</v>
      </c>
      <c r="M24" s="551">
        <f t="shared" si="1"/>
        <v>88.07774999999998</v>
      </c>
      <c r="N24" s="551">
        <f t="shared" si="1"/>
        <v>102.89075</v>
      </c>
      <c r="O24" s="551">
        <f t="shared" si="1"/>
        <v>94.404750000000007</v>
      </c>
      <c r="P24" s="551">
        <f t="shared" si="1"/>
        <v>91.919749999999993</v>
      </c>
      <c r="Q24" s="551">
        <f t="shared" si="1"/>
        <v>80.097749999999991</v>
      </c>
      <c r="R24" s="551">
        <f t="shared" si="1"/>
        <v>69.023750000000007</v>
      </c>
      <c r="S24" s="551">
        <f t="shared" si="1"/>
        <v>61.349750000000007</v>
      </c>
      <c r="T24" s="551">
        <f t="shared" si="1"/>
        <v>81.433750000000003</v>
      </c>
      <c r="U24" s="551">
        <f t="shared" si="1"/>
        <v>75.465749999999986</v>
      </c>
      <c r="V24" s="551">
        <f t="shared" si="1"/>
        <v>48.418749999999996</v>
      </c>
      <c r="W24" s="675">
        <f t="shared" si="1"/>
        <v>48.418749999999996</v>
      </c>
      <c r="X24" s="675">
        <f t="shared" si="1"/>
        <v>48.418749999999996</v>
      </c>
      <c r="Y24" s="675">
        <f t="shared" si="1"/>
        <v>48.418749999999996</v>
      </c>
      <c r="Z24" s="675">
        <f t="shared" si="1"/>
        <v>48.418749999999996</v>
      </c>
      <c r="AA24" s="675">
        <f t="shared" si="1"/>
        <v>48.418749999999996</v>
      </c>
      <c r="AB24" s="675">
        <f t="shared" si="1"/>
        <v>48.418749999999996</v>
      </c>
      <c r="AC24" s="675">
        <f t="shared" si="1"/>
        <v>48.418749999999996</v>
      </c>
      <c r="AE24" s="222"/>
      <c r="AF24" s="222"/>
      <c r="AG24" s="222"/>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222"/>
      <c r="BJ24" s="222"/>
      <c r="BK24" s="222"/>
      <c r="BL24" s="222"/>
      <c r="BM24" s="222"/>
      <c r="BN24" s="222"/>
      <c r="BO24" s="222"/>
      <c r="BP24" s="222"/>
      <c r="BQ24" s="222"/>
      <c r="BR24" s="222"/>
      <c r="BS24" s="222"/>
      <c r="BT24" s="222"/>
      <c r="BU24" s="222"/>
      <c r="BV24" s="222"/>
      <c r="BW24" s="222"/>
      <c r="BX24" s="222"/>
      <c r="BY24" s="222"/>
      <c r="BZ24" s="222"/>
      <c r="CA24" s="222"/>
      <c r="CB24" s="222"/>
      <c r="CC24" s="222"/>
      <c r="CD24" s="222"/>
      <c r="CE24" s="222"/>
      <c r="CF24" s="222"/>
      <c r="CG24" s="222"/>
      <c r="CH24" s="222"/>
      <c r="CI24" s="222"/>
      <c r="CJ24" s="222"/>
      <c r="CK24" s="222"/>
      <c r="CL24" s="222"/>
      <c r="CM24" s="222"/>
      <c r="CN24" s="222"/>
      <c r="CO24" s="222"/>
      <c r="CP24" s="222"/>
      <c r="CQ24" s="222"/>
      <c r="CR24" s="222"/>
      <c r="CS24" s="222"/>
      <c r="CT24" s="222"/>
      <c r="CU24" s="222"/>
      <c r="CV24" s="222"/>
    </row>
    <row r="25" spans="1:101" ht="17.100000000000001" customHeight="1" x14ac:dyDescent="0.25">
      <c r="A25" t="s">
        <v>1865</v>
      </c>
      <c r="B25" s="746" t="s">
        <v>467</v>
      </c>
      <c r="C25" s="222" t="s">
        <v>468</v>
      </c>
      <c r="D25" s="551">
        <f>'Haver Pivoted'!GO31</f>
        <v>2223</v>
      </c>
      <c r="E25" s="551">
        <f>'Haver Pivoted'!GP31</f>
        <v>2303.6</v>
      </c>
      <c r="F25" s="551">
        <f>'Haver Pivoted'!GQ31</f>
        <v>2320.1</v>
      </c>
      <c r="G25" s="551">
        <f>'Haver Pivoted'!GR31</f>
        <v>2332.9</v>
      </c>
      <c r="H25" s="551">
        <f>'Haver Pivoted'!GS31</f>
        <v>2346.6</v>
      </c>
      <c r="I25" s="551">
        <f>'Haver Pivoted'!GT31</f>
        <v>2412.6</v>
      </c>
      <c r="J25" s="551">
        <f>'Haver Pivoted'!GU31</f>
        <v>4652.1000000000004</v>
      </c>
      <c r="K25" s="551">
        <f>'Haver Pivoted'!GV31</f>
        <v>3508</v>
      </c>
      <c r="L25" s="551">
        <f>'Haver Pivoted'!GW31</f>
        <v>2895.4</v>
      </c>
      <c r="M25" s="551">
        <f>'Haver Pivoted'!GX31</f>
        <v>5127.3999999999996</v>
      </c>
      <c r="N25" s="551">
        <f>'Haver Pivoted'!GY31</f>
        <v>3403.8</v>
      </c>
      <c r="O25" s="551">
        <f>'Haver Pivoted'!GZ31</f>
        <v>3135</v>
      </c>
      <c r="P25" s="551">
        <f>'Haver Pivoted'!HA31</f>
        <v>2947.7</v>
      </c>
      <c r="Q25" s="551">
        <f>'Haver Pivoted'!HB31</f>
        <v>2903.2</v>
      </c>
      <c r="R25" s="551">
        <f>'Haver Pivoted'!HC31</f>
        <v>2895.2</v>
      </c>
      <c r="S25" s="551">
        <f>'Haver Pivoted'!HD31</f>
        <v>2867.4</v>
      </c>
      <c r="T25" s="551">
        <f>'Haver Pivoted'!HE31</f>
        <v>2896.7</v>
      </c>
      <c r="U25" s="551">
        <f>'Haver Pivoted'!HF31</f>
        <v>2945.8</v>
      </c>
      <c r="V25" s="551">
        <f>'Haver Pivoted'!HG31</f>
        <v>2929.7</v>
      </c>
      <c r="W25" s="675"/>
      <c r="X25" s="675"/>
      <c r="Y25" s="675"/>
      <c r="Z25" s="675"/>
      <c r="AA25" s="675"/>
      <c r="AB25" s="675"/>
      <c r="AC25" s="675"/>
    </row>
    <row r="26" spans="1:101" ht="17.100000000000001" customHeight="1" x14ac:dyDescent="0.25">
      <c r="B26" s="247" t="s">
        <v>1864</v>
      </c>
      <c r="C26" s="222"/>
      <c r="D26" s="551">
        <f>D27+D28</f>
        <v>812.1</v>
      </c>
      <c r="E26" s="551">
        <f t="shared" ref="E26:V26" si="2">E27+E28</f>
        <v>832.4</v>
      </c>
      <c r="F26" s="551">
        <f t="shared" si="2"/>
        <v>843</v>
      </c>
      <c r="G26" s="551">
        <f t="shared" si="2"/>
        <v>848.9</v>
      </c>
      <c r="H26" s="551">
        <f t="shared" si="2"/>
        <v>854.6</v>
      </c>
      <c r="I26" s="551">
        <f t="shared" si="2"/>
        <v>875.94174999999996</v>
      </c>
      <c r="J26" s="551">
        <f t="shared" si="2"/>
        <v>2979.1887500000003</v>
      </c>
      <c r="K26" s="551">
        <f t="shared" si="2"/>
        <v>1807.73775</v>
      </c>
      <c r="L26" s="551">
        <f t="shared" si="2"/>
        <v>1280.19775</v>
      </c>
      <c r="M26" s="551">
        <f>M27+M28</f>
        <v>3500.7777499999997</v>
      </c>
      <c r="N26" s="551">
        <f t="shared" si="2"/>
        <v>1773.2907500000001</v>
      </c>
      <c r="O26" s="551">
        <f t="shared" si="2"/>
        <v>1483.542083333333</v>
      </c>
      <c r="P26" s="551">
        <f t="shared" si="2"/>
        <v>1284.7720833333331</v>
      </c>
      <c r="Q26" s="551">
        <f t="shared" si="2"/>
        <v>1138.51675</v>
      </c>
      <c r="R26" s="551">
        <f t="shared" si="2"/>
        <v>1129.1427500000002</v>
      </c>
      <c r="S26" s="551">
        <f t="shared" si="2"/>
        <v>1122.16875</v>
      </c>
      <c r="T26" s="551">
        <f t="shared" si="2"/>
        <v>1133.4497500000002</v>
      </c>
      <c r="U26" s="551">
        <f t="shared" si="2"/>
        <v>1070.9817499999999</v>
      </c>
      <c r="V26" s="551">
        <f t="shared" si="2"/>
        <v>1048.3633214285715</v>
      </c>
      <c r="W26" s="675">
        <f>W27+W28</f>
        <v>49.834749999999993</v>
      </c>
      <c r="X26" s="675">
        <f t="shared" ref="X26" si="3">X27+X28</f>
        <v>49.897749999999995</v>
      </c>
      <c r="Y26" s="675">
        <f t="shared" ref="Y26" si="4">Y27+Y28</f>
        <v>49.897749999999995</v>
      </c>
      <c r="Z26" s="675">
        <f t="shared" ref="Z26" si="5">Z27+Z28</f>
        <v>49.897749999999995</v>
      </c>
      <c r="AA26" s="675">
        <f t="shared" ref="AA26" si="6">AA27+AA28</f>
        <v>49.897749999999995</v>
      </c>
      <c r="AB26" s="675">
        <f t="shared" ref="AB26" si="7">AB27+AB28</f>
        <v>50.048749999999998</v>
      </c>
      <c r="AC26" s="675">
        <f t="shared" ref="AC26" si="8">AC27+AC28</f>
        <v>50.048749999999998</v>
      </c>
    </row>
    <row r="27" spans="1:101" ht="17.100000000000001" customHeight="1" x14ac:dyDescent="0.25">
      <c r="B27" s="404" t="s">
        <v>1863</v>
      </c>
      <c r="C27" s="222"/>
      <c r="D27" s="591">
        <f t="shared" ref="D27:V27" si="9">D13+D14+D17</f>
        <v>812.1</v>
      </c>
      <c r="E27" s="551">
        <f t="shared" si="9"/>
        <v>832.4</v>
      </c>
      <c r="F27" s="551">
        <f t="shared" si="9"/>
        <v>843</v>
      </c>
      <c r="G27" s="551">
        <f t="shared" si="9"/>
        <v>848.9</v>
      </c>
      <c r="H27" s="551">
        <f t="shared" si="9"/>
        <v>854.6</v>
      </c>
      <c r="I27" s="551">
        <f t="shared" si="9"/>
        <v>869.3</v>
      </c>
      <c r="J27" s="551">
        <f t="shared" si="9"/>
        <v>1792.5</v>
      </c>
      <c r="K27" s="551">
        <f t="shared" si="9"/>
        <v>1655.6</v>
      </c>
      <c r="L27" s="551">
        <f t="shared" si="9"/>
        <v>1188.2</v>
      </c>
      <c r="M27" s="551">
        <f t="shared" si="9"/>
        <v>1467.3</v>
      </c>
      <c r="N27" s="551">
        <f t="shared" si="9"/>
        <v>1351.8</v>
      </c>
      <c r="O27" s="551">
        <f t="shared" si="9"/>
        <v>1328.333333333333</v>
      </c>
      <c r="P27" s="551">
        <f t="shared" si="9"/>
        <v>1157.333333333333</v>
      </c>
      <c r="Q27" s="551">
        <f t="shared" si="9"/>
        <v>1038.7</v>
      </c>
      <c r="R27" s="551">
        <f t="shared" si="9"/>
        <v>1040.4000000000001</v>
      </c>
      <c r="S27" s="551">
        <f t="shared" si="9"/>
        <v>1041.1000000000001</v>
      </c>
      <c r="T27" s="551">
        <f t="shared" si="9"/>
        <v>1050.6000000000001</v>
      </c>
      <c r="U27" s="551">
        <f t="shared" si="9"/>
        <v>994.1</v>
      </c>
      <c r="V27" s="551">
        <f t="shared" si="9"/>
        <v>998.52857142857147</v>
      </c>
      <c r="W27" s="675"/>
      <c r="X27" s="675"/>
      <c r="Y27" s="675"/>
      <c r="Z27" s="675"/>
      <c r="AA27" s="675"/>
      <c r="AB27" s="675"/>
      <c r="AC27" s="723"/>
    </row>
    <row r="28" spans="1:101" ht="28.5" customHeight="1" x14ac:dyDescent="0.25">
      <c r="B28" s="404" t="s">
        <v>1860</v>
      </c>
      <c r="C28" s="222"/>
      <c r="D28" s="383">
        <f t="shared" ref="D28:AC28" si="10">D18+D23+D24+D22</f>
        <v>0</v>
      </c>
      <c r="E28" s="389">
        <f t="shared" si="10"/>
        <v>0</v>
      </c>
      <c r="F28" s="389">
        <f t="shared" si="10"/>
        <v>0</v>
      </c>
      <c r="G28" s="389">
        <f t="shared" si="10"/>
        <v>0</v>
      </c>
      <c r="H28" s="389">
        <f t="shared" si="10"/>
        <v>0</v>
      </c>
      <c r="I28" s="389">
        <f t="shared" si="10"/>
        <v>6.6417500000000018</v>
      </c>
      <c r="J28" s="389">
        <f t="shared" si="10"/>
        <v>1186.68875</v>
      </c>
      <c r="K28" s="389">
        <f t="shared" si="10"/>
        <v>152.13775000000001</v>
      </c>
      <c r="L28" s="389">
        <f t="shared" si="10"/>
        <v>91.997749999999996</v>
      </c>
      <c r="M28" s="389">
        <f t="shared" si="10"/>
        <v>2033.4777499999998</v>
      </c>
      <c r="N28" s="389">
        <f t="shared" si="10"/>
        <v>421.49075000000005</v>
      </c>
      <c r="O28" s="389">
        <f t="shared" si="10"/>
        <v>155.20875000000007</v>
      </c>
      <c r="P28" s="389">
        <f t="shared" si="10"/>
        <v>127.43875</v>
      </c>
      <c r="Q28" s="389">
        <f t="shared" si="10"/>
        <v>99.816749999999999</v>
      </c>
      <c r="R28" s="389">
        <f t="shared" si="10"/>
        <v>88.742750000000015</v>
      </c>
      <c r="S28" s="389">
        <f t="shared" si="10"/>
        <v>81.068750000000009</v>
      </c>
      <c r="T28" s="389">
        <f t="shared" si="10"/>
        <v>82.84975</v>
      </c>
      <c r="U28" s="389">
        <f t="shared" si="10"/>
        <v>76.881749999999982</v>
      </c>
      <c r="V28" s="389">
        <f t="shared" si="10"/>
        <v>49.834749999999993</v>
      </c>
      <c r="W28" s="333">
        <f t="shared" si="10"/>
        <v>49.834749999999993</v>
      </c>
      <c r="X28" s="333">
        <f t="shared" si="10"/>
        <v>49.897749999999995</v>
      </c>
      <c r="Y28" s="333">
        <f t="shared" si="10"/>
        <v>49.897749999999995</v>
      </c>
      <c r="Z28" s="333">
        <f t="shared" si="10"/>
        <v>49.897749999999995</v>
      </c>
      <c r="AA28" s="333">
        <f t="shared" si="10"/>
        <v>49.897749999999995</v>
      </c>
      <c r="AB28" s="333">
        <f t="shared" si="10"/>
        <v>50.048749999999998</v>
      </c>
      <c r="AC28" s="333">
        <f t="shared" si="10"/>
        <v>50.048749999999998</v>
      </c>
    </row>
    <row r="29" spans="1:101" x14ac:dyDescent="0.25">
      <c r="B29" s="413" t="s">
        <v>1866</v>
      </c>
      <c r="C29" s="222"/>
      <c r="D29" s="389">
        <f>D25-D26</f>
        <v>1410.9</v>
      </c>
      <c r="E29" s="389">
        <f t="shared" ref="E29:V29" si="11">E25-E26</f>
        <v>1471.1999999999998</v>
      </c>
      <c r="F29" s="389">
        <f t="shared" si="11"/>
        <v>1477.1</v>
      </c>
      <c r="G29" s="389">
        <f t="shared" si="11"/>
        <v>1484</v>
      </c>
      <c r="H29" s="389">
        <f t="shared" si="11"/>
        <v>1492</v>
      </c>
      <c r="I29" s="389">
        <f t="shared" si="11"/>
        <v>1536.65825</v>
      </c>
      <c r="J29" s="389">
        <f t="shared" si="11"/>
        <v>1672.9112500000001</v>
      </c>
      <c r="K29" s="389">
        <f t="shared" si="11"/>
        <v>1700.26225</v>
      </c>
      <c r="L29" s="389">
        <f t="shared" si="11"/>
        <v>1615.20225</v>
      </c>
      <c r="M29" s="389">
        <f t="shared" si="11"/>
        <v>1626.6222499999999</v>
      </c>
      <c r="N29" s="389">
        <f t="shared" si="11"/>
        <v>1630.5092500000001</v>
      </c>
      <c r="O29" s="389">
        <f t="shared" si="11"/>
        <v>1651.457916666667</v>
      </c>
      <c r="P29" s="389">
        <f t="shared" si="11"/>
        <v>1662.9279166666668</v>
      </c>
      <c r="Q29" s="389">
        <f t="shared" si="11"/>
        <v>1764.6832499999998</v>
      </c>
      <c r="R29" s="389">
        <f t="shared" si="11"/>
        <v>1766.0572499999996</v>
      </c>
      <c r="S29" s="389">
        <f t="shared" si="11"/>
        <v>1745.23125</v>
      </c>
      <c r="T29" s="389">
        <f t="shared" si="11"/>
        <v>1763.2502499999996</v>
      </c>
      <c r="U29" s="389">
        <f t="shared" si="11"/>
        <v>1874.8182500000003</v>
      </c>
      <c r="V29" s="389">
        <f t="shared" si="11"/>
        <v>1881.3366785714284</v>
      </c>
      <c r="W29" s="333"/>
      <c r="X29" s="333"/>
      <c r="Y29" s="333"/>
      <c r="Z29" s="333"/>
      <c r="AA29" s="333"/>
      <c r="AB29" s="333"/>
      <c r="AC29" s="333"/>
    </row>
    <row r="30" spans="1:101" ht="18" customHeight="1" x14ac:dyDescent="0.25">
      <c r="B30" s="454" t="s">
        <v>1857</v>
      </c>
      <c r="C30" s="222"/>
      <c r="D30" s="256"/>
      <c r="E30" s="211"/>
      <c r="F30" s="211"/>
      <c r="G30" s="211"/>
      <c r="H30" s="211"/>
      <c r="I30" s="211"/>
      <c r="J30" s="211"/>
      <c r="K30" s="211"/>
      <c r="L30" s="211"/>
      <c r="M30" s="211"/>
      <c r="N30" s="211"/>
      <c r="O30" s="211"/>
      <c r="P30" s="211"/>
      <c r="Q30" s="211"/>
      <c r="R30" s="211"/>
      <c r="S30" s="211"/>
      <c r="T30" s="211"/>
      <c r="U30" s="211"/>
      <c r="V30" s="551"/>
      <c r="W30" s="675"/>
      <c r="X30" s="675"/>
      <c r="Y30" s="675"/>
      <c r="Z30" s="675"/>
      <c r="AA30" s="675"/>
      <c r="AB30" s="675"/>
      <c r="AC30" s="723"/>
    </row>
    <row r="31" spans="1:101" ht="18" customHeight="1" x14ac:dyDescent="0.25">
      <c r="B31" s="454" t="s">
        <v>1858</v>
      </c>
      <c r="C31" s="222"/>
      <c r="D31" s="256"/>
      <c r="E31" s="211"/>
      <c r="F31" s="211"/>
      <c r="G31" s="211"/>
      <c r="H31" s="211"/>
      <c r="I31" s="211"/>
      <c r="J31" s="211"/>
      <c r="K31" s="211"/>
      <c r="L31" s="211"/>
      <c r="M31" s="211"/>
      <c r="N31" s="211"/>
      <c r="O31" s="211"/>
      <c r="P31" s="211"/>
      <c r="Q31" s="211"/>
      <c r="R31" s="211"/>
      <c r="S31" s="211"/>
      <c r="T31" s="211"/>
      <c r="U31" s="211"/>
      <c r="V31" s="551"/>
      <c r="W31" s="675"/>
      <c r="X31" s="675"/>
      <c r="Y31" s="675"/>
      <c r="Z31" s="675"/>
      <c r="AA31" s="675"/>
      <c r="AB31" s="675"/>
      <c r="AC31" s="723"/>
    </row>
    <row r="32" spans="1:101" ht="20.100000000000001" customHeight="1" x14ac:dyDescent="0.25">
      <c r="B32" s="250" t="s">
        <v>472</v>
      </c>
      <c r="C32" s="245"/>
      <c r="D32" s="725"/>
      <c r="E32" s="635"/>
      <c r="F32" s="635"/>
      <c r="G32" s="635"/>
      <c r="H32" s="548"/>
      <c r="I32" s="548"/>
      <c r="J32" s="548"/>
      <c r="K32" s="548"/>
      <c r="L32" s="548"/>
      <c r="M32" s="548">
        <f>'ARP Quarterly'!C5</f>
        <v>0</v>
      </c>
      <c r="N32" s="548">
        <f>'ARP Quarterly'!D5</f>
        <v>33.921840000000024</v>
      </c>
      <c r="O32" s="548">
        <f>'ARP Quarterly'!E5</f>
        <v>44.966160000000031</v>
      </c>
      <c r="P32" s="548">
        <f>'ARP Quarterly'!F5</f>
        <v>52.756999999999998</v>
      </c>
      <c r="Q32" s="548">
        <f>'ARP Quarterly'!G5</f>
        <v>52.756999999999998</v>
      </c>
      <c r="R32" s="548">
        <f>'ARP Quarterly'!H5</f>
        <v>52.756999999999998</v>
      </c>
      <c r="S32" s="548">
        <f>'ARP Quarterly'!I5</f>
        <v>52.756999999999998</v>
      </c>
      <c r="T32" s="548">
        <v>30</v>
      </c>
      <c r="U32" s="548">
        <f>'ARP Quarterly'!K5</f>
        <v>12</v>
      </c>
      <c r="V32" s="743">
        <f>'ARP Quarterly'!L5</f>
        <v>12</v>
      </c>
      <c r="W32" s="553">
        <f>'ARP Quarterly'!M5</f>
        <v>12</v>
      </c>
      <c r="X32" s="553">
        <f>'ARP Quarterly'!N5</f>
        <v>4.2219999999999995</v>
      </c>
      <c r="Y32" s="553">
        <f>'ARP Quarterly'!O5</f>
        <v>4.2219999999999995</v>
      </c>
      <c r="Z32" s="553">
        <f>'ARP Quarterly'!P5</f>
        <v>4.2219999999999995</v>
      </c>
      <c r="AA32" s="553">
        <f>'ARP Quarterly'!Q5</f>
        <v>4.2219999999999995</v>
      </c>
      <c r="AB32" s="553">
        <f>'ARP Quarterly'!R5</f>
        <v>2.3719999999999999</v>
      </c>
      <c r="AC32" s="690">
        <f>'ARP Quarterly'!S5</f>
        <v>2.3719999999999999</v>
      </c>
    </row>
    <row r="33" spans="2:101" ht="22.35" customHeight="1" x14ac:dyDescent="0.25">
      <c r="B33" s="230" t="s">
        <v>218</v>
      </c>
      <c r="C33" s="681"/>
      <c r="D33" s="256"/>
      <c r="E33" s="211"/>
      <c r="F33" s="211"/>
      <c r="G33" s="211"/>
      <c r="H33" s="211"/>
      <c r="I33" s="211"/>
      <c r="J33" s="211"/>
      <c r="K33" s="211"/>
      <c r="L33" s="211"/>
      <c r="M33" s="551">
        <f>'ARP Quarterly'!C4</f>
        <v>0</v>
      </c>
      <c r="N33" s="551">
        <f>'ARP Quarterly'!D4</f>
        <v>0</v>
      </c>
      <c r="O33" s="551">
        <f>'ARP Quarterly'!E4</f>
        <v>3.1040000000000418</v>
      </c>
      <c r="P33" s="551">
        <f>'ARP Quarterly'!F4</f>
        <v>19.719000000000005</v>
      </c>
      <c r="Q33" s="551">
        <f>'ARP Quarterly'!G4</f>
        <v>19.719000000000005</v>
      </c>
      <c r="R33" s="551">
        <f>'ARP Quarterly'!H4</f>
        <v>19.719000000000005</v>
      </c>
      <c r="S33" s="551">
        <f>'ARP Quarterly'!I4</f>
        <v>19.719000000000005</v>
      </c>
      <c r="T33" s="551">
        <f>'ARP Quarterly'!J4</f>
        <v>1.4159999999999999</v>
      </c>
      <c r="U33" s="551">
        <f>'ARP Quarterly'!K4</f>
        <v>1.4159999999999999</v>
      </c>
      <c r="V33" s="551">
        <f>'ARP Quarterly'!L4</f>
        <v>1.4159999999999999</v>
      </c>
      <c r="W33" s="675">
        <f>'ARP Quarterly'!M4</f>
        <v>1.4159999999999999</v>
      </c>
      <c r="X33" s="675">
        <f>'ARP Quarterly'!N4</f>
        <v>1.4790000000000001</v>
      </c>
      <c r="Y33" s="675">
        <f>'ARP Quarterly'!O4</f>
        <v>1.4790000000000001</v>
      </c>
      <c r="Z33" s="675">
        <f>'ARP Quarterly'!P4</f>
        <v>1.4790000000000001</v>
      </c>
      <c r="AA33" s="675">
        <f>'ARP Quarterly'!Q4</f>
        <v>1.4790000000000001</v>
      </c>
      <c r="AB33" s="675">
        <f>'ARP Quarterly'!R4</f>
        <v>1.63</v>
      </c>
      <c r="AC33" s="723">
        <f>'ARP Quarterly'!S4</f>
        <v>1.63</v>
      </c>
      <c r="AE33" s="681"/>
      <c r="AF33" s="681"/>
      <c r="AG33" s="681"/>
      <c r="AH33" s="681"/>
      <c r="AI33" s="681"/>
      <c r="AJ33" s="681"/>
      <c r="AK33" s="681"/>
      <c r="AL33" s="681"/>
      <c r="AM33" s="681"/>
      <c r="AN33" s="681"/>
      <c r="AO33" s="681"/>
      <c r="AP33" s="681"/>
      <c r="AQ33" s="681"/>
      <c r="AR33" s="681"/>
      <c r="AS33" s="681"/>
      <c r="AT33" s="681"/>
      <c r="AU33" s="681"/>
      <c r="AV33" s="681"/>
      <c r="AW33" s="681"/>
      <c r="AX33" s="681"/>
      <c r="AY33" s="681"/>
      <c r="AZ33" s="681"/>
      <c r="BA33" s="681"/>
      <c r="BB33" s="681"/>
      <c r="BC33" s="681"/>
      <c r="BD33" s="681"/>
      <c r="BE33" s="681"/>
      <c r="BF33" s="681"/>
      <c r="BG33" s="681"/>
      <c r="BH33" s="681"/>
      <c r="BI33" s="681"/>
      <c r="BJ33" s="681"/>
      <c r="BK33" s="681"/>
      <c r="BL33" s="681"/>
      <c r="BM33" s="681"/>
      <c r="BN33" s="681"/>
      <c r="BO33" s="681"/>
      <c r="BP33" s="681"/>
      <c r="BQ33" s="681"/>
      <c r="BR33" s="681"/>
      <c r="BS33" s="681"/>
      <c r="BT33" s="681"/>
      <c r="BU33" s="681"/>
      <c r="BV33" s="681"/>
      <c r="BW33" s="681"/>
      <c r="BX33" s="681"/>
      <c r="BY33" s="681"/>
      <c r="BZ33" s="681"/>
      <c r="CA33" s="681"/>
      <c r="CB33" s="681"/>
      <c r="CC33" s="681"/>
      <c r="CD33" s="681"/>
      <c r="CE33" s="681"/>
      <c r="CF33" s="681"/>
      <c r="CG33" s="681"/>
      <c r="CH33" s="681"/>
      <c r="CI33" s="681"/>
      <c r="CJ33" s="681"/>
      <c r="CK33" s="681"/>
      <c r="CL33" s="681"/>
      <c r="CM33" s="681"/>
      <c r="CN33" s="681"/>
      <c r="CO33" s="681"/>
      <c r="CP33" s="681"/>
      <c r="CQ33" s="681"/>
      <c r="CR33" s="681"/>
      <c r="CS33" s="681"/>
      <c r="CT33" s="681"/>
      <c r="CU33" s="681"/>
      <c r="CV33" s="681"/>
      <c r="CW33" s="681"/>
    </row>
    <row r="34" spans="2:101" ht="36.6" customHeight="1" x14ac:dyDescent="0.25">
      <c r="B34" s="230" t="s">
        <v>1438</v>
      </c>
      <c r="C34" s="222"/>
      <c r="D34" s="257">
        <f>D85</f>
        <v>0</v>
      </c>
      <c r="E34" s="216">
        <f t="shared" ref="E34:AC34" si="12">E85</f>
        <v>0</v>
      </c>
      <c r="F34" s="216">
        <f t="shared" si="12"/>
        <v>0</v>
      </c>
      <c r="G34" s="216">
        <f t="shared" si="12"/>
        <v>0</v>
      </c>
      <c r="H34" s="216">
        <f t="shared" si="12"/>
        <v>0</v>
      </c>
      <c r="I34" s="551">
        <f t="shared" si="12"/>
        <v>6.6417500000000018</v>
      </c>
      <c r="J34" s="551">
        <f t="shared" si="12"/>
        <v>51.388749999999995</v>
      </c>
      <c r="K34" s="551">
        <f t="shared" si="12"/>
        <v>55.337750000000007</v>
      </c>
      <c r="L34" s="551">
        <f t="shared" si="12"/>
        <v>62.597749999999998</v>
      </c>
      <c r="M34" s="551">
        <f t="shared" si="12"/>
        <v>88.07774999999998</v>
      </c>
      <c r="N34" s="551">
        <f t="shared" si="12"/>
        <v>102.89075</v>
      </c>
      <c r="O34" s="551">
        <f t="shared" si="12"/>
        <v>94.404750000000007</v>
      </c>
      <c r="P34" s="551">
        <f t="shared" si="12"/>
        <v>91.919749999999993</v>
      </c>
      <c r="Q34" s="551">
        <f t="shared" si="12"/>
        <v>80.097749999999991</v>
      </c>
      <c r="R34" s="551">
        <f t="shared" si="12"/>
        <v>69.023750000000007</v>
      </c>
      <c r="S34" s="551">
        <f t="shared" si="12"/>
        <v>61.349750000000007</v>
      </c>
      <c r="T34" s="551">
        <f t="shared" si="12"/>
        <v>81.433750000000003</v>
      </c>
      <c r="U34" s="551">
        <f t="shared" si="12"/>
        <v>75.465749999999986</v>
      </c>
      <c r="V34" s="551">
        <f>V85</f>
        <v>48.418749999999996</v>
      </c>
      <c r="W34" s="675">
        <f>W85</f>
        <v>48.418749999999996</v>
      </c>
      <c r="X34" s="675">
        <f t="shared" si="12"/>
        <v>48.418749999999996</v>
      </c>
      <c r="Y34" s="675">
        <f t="shared" si="12"/>
        <v>48.418749999999996</v>
      </c>
      <c r="Z34" s="675">
        <f t="shared" si="12"/>
        <v>48.418749999999996</v>
      </c>
      <c r="AA34" s="675">
        <f t="shared" si="12"/>
        <v>48.418749999999996</v>
      </c>
      <c r="AB34" s="675">
        <f t="shared" si="12"/>
        <v>48.418749999999996</v>
      </c>
      <c r="AC34" s="723">
        <f t="shared" si="12"/>
        <v>48.418749999999996</v>
      </c>
      <c r="AE34" s="222"/>
      <c r="AF34" s="222"/>
      <c r="AG34" s="222"/>
      <c r="AH34" s="222"/>
      <c r="AI34" s="222"/>
      <c r="AJ34" s="222"/>
      <c r="AK34" s="222"/>
      <c r="AL34" s="222"/>
      <c r="AM34" s="222"/>
      <c r="AN34" s="222"/>
      <c r="AO34" s="222"/>
      <c r="AP34" s="222"/>
      <c r="AQ34" s="222"/>
      <c r="AR34" s="222"/>
      <c r="AS34" s="222"/>
      <c r="AT34" s="222"/>
      <c r="AU34" s="222"/>
      <c r="AV34" s="222"/>
      <c r="AW34" s="222"/>
      <c r="AX34" s="222"/>
      <c r="AY34" s="222"/>
      <c r="AZ34" s="222"/>
      <c r="BA34" s="222"/>
      <c r="BB34" s="222"/>
      <c r="BC34" s="222"/>
      <c r="BD34" s="222"/>
      <c r="BE34" s="222"/>
      <c r="BF34" s="222"/>
      <c r="BG34" s="222"/>
      <c r="BH34" s="222"/>
      <c r="BI34" s="222"/>
      <c r="BJ34" s="222"/>
      <c r="BK34" s="222"/>
      <c r="BL34" s="222"/>
      <c r="BM34" s="222"/>
      <c r="BN34" s="222"/>
      <c r="BO34" s="222"/>
      <c r="BP34" s="222"/>
      <c r="BQ34" s="222"/>
      <c r="BR34" s="222"/>
      <c r="BS34" s="222"/>
      <c r="BT34" s="222"/>
      <c r="BU34" s="222"/>
      <c r="BV34" s="222"/>
      <c r="BW34" s="222"/>
      <c r="BX34" s="222"/>
      <c r="BY34" s="222"/>
      <c r="BZ34" s="222"/>
      <c r="CA34" s="222"/>
      <c r="CB34" s="222"/>
      <c r="CC34" s="222"/>
      <c r="CD34" s="222"/>
      <c r="CE34" s="222"/>
      <c r="CF34" s="222"/>
      <c r="CG34" s="222"/>
      <c r="CH34" s="222"/>
      <c r="CI34" s="222"/>
      <c r="CJ34" s="222"/>
      <c r="CK34" s="222"/>
      <c r="CL34" s="222"/>
      <c r="CM34" s="222"/>
      <c r="CN34" s="222"/>
      <c r="CO34" s="222"/>
      <c r="CP34" s="222"/>
      <c r="CQ34" s="222"/>
      <c r="CR34" s="222"/>
      <c r="CS34" s="222"/>
      <c r="CT34" s="222"/>
      <c r="CU34" s="222"/>
      <c r="CV34" s="222"/>
    </row>
    <row r="35" spans="2:101" ht="15.6" customHeight="1" x14ac:dyDescent="0.25">
      <c r="B35" s="744" t="s">
        <v>801</v>
      </c>
      <c r="C35" s="222" t="s">
        <v>828</v>
      </c>
      <c r="D35" s="256">
        <v>30</v>
      </c>
      <c r="E35" s="211">
        <v>30</v>
      </c>
      <c r="F35" s="211">
        <v>30</v>
      </c>
      <c r="G35" s="211">
        <v>30</v>
      </c>
      <c r="H35" s="211">
        <v>30</v>
      </c>
      <c r="I35" s="211">
        <v>30</v>
      </c>
      <c r="J35" s="211">
        <v>30</v>
      </c>
      <c r="K35" s="207">
        <v>30.2</v>
      </c>
      <c r="L35" s="207">
        <v>30.2</v>
      </c>
      <c r="M35" s="207">
        <f>'Haver Pivoted'!GX89</f>
        <v>34.4</v>
      </c>
      <c r="N35" s="207">
        <f>'Haver Pivoted'!GY89</f>
        <v>34.4</v>
      </c>
      <c r="O35" s="207">
        <f>'Haver Pivoted'!GZ89</f>
        <v>218.933333333333</v>
      </c>
      <c r="P35" s="207">
        <f>'Haver Pivoted'!HA89</f>
        <v>223.13333333333301</v>
      </c>
      <c r="Q35" s="207">
        <f>'Haver Pivoted'!HB89</f>
        <v>94.3</v>
      </c>
      <c r="R35" s="207">
        <f>'Haver Pivoted'!HC89</f>
        <v>94.3</v>
      </c>
      <c r="S35" s="431">
        <f>'Haver Pivoted'!HD89</f>
        <v>94.3</v>
      </c>
      <c r="T35" s="431">
        <f>'Haver Pivoted'!HE89</f>
        <v>94.3</v>
      </c>
      <c r="U35" s="675">
        <v>34</v>
      </c>
      <c r="V35" s="551">
        <v>34</v>
      </c>
      <c r="W35" s="675">
        <v>34</v>
      </c>
      <c r="X35" s="675">
        <v>34</v>
      </c>
      <c r="Y35" s="675">
        <v>34</v>
      </c>
      <c r="Z35" s="675">
        <v>34</v>
      </c>
      <c r="AA35" s="675">
        <v>34</v>
      </c>
      <c r="AB35" s="675">
        <v>34</v>
      </c>
      <c r="AC35" s="723">
        <v>34</v>
      </c>
    </row>
    <row r="36" spans="2:101" ht="21.6" customHeight="1" x14ac:dyDescent="0.25">
      <c r="B36" s="230" t="s">
        <v>470</v>
      </c>
      <c r="C36" s="222"/>
      <c r="D36" s="257"/>
      <c r="E36" s="216"/>
      <c r="F36" s="216"/>
      <c r="G36" s="216"/>
      <c r="H36" s="551"/>
      <c r="I36" s="551"/>
      <c r="J36" s="551">
        <f>'PPP (expired)'!J53</f>
        <v>57.2</v>
      </c>
      <c r="K36" s="551">
        <f>'PPP (expired)'!K53</f>
        <v>81.2</v>
      </c>
      <c r="L36" s="551">
        <f>'PPP (expired)'!L53</f>
        <v>24.4</v>
      </c>
      <c r="M36" s="551">
        <f>'PPP (expired)'!M53</f>
        <v>11.7</v>
      </c>
      <c r="N36" s="551">
        <f>'PPP (expired)'!N53</f>
        <v>28.5</v>
      </c>
      <c r="O36" s="551">
        <f>'PPP (expired)'!O53</f>
        <v>18.8</v>
      </c>
      <c r="P36" s="551">
        <f>'PPP (expired)'!P53</f>
        <v>1.6</v>
      </c>
      <c r="Q36" s="551">
        <f>'PPP (expired)'!Q53</f>
        <v>0</v>
      </c>
      <c r="R36" s="551">
        <f>'PPP (expired)'!Q61</f>
        <v>0</v>
      </c>
      <c r="S36" s="551">
        <f>'PPP (expired)'!S53</f>
        <v>0</v>
      </c>
      <c r="T36" s="551">
        <f>'PPP (expired)'!T53</f>
        <v>0</v>
      </c>
      <c r="U36" s="551">
        <f>'PPP (expired)'!U53</f>
        <v>0</v>
      </c>
      <c r="V36" s="551">
        <f>'PPP (expired)'!V53</f>
        <v>0</v>
      </c>
      <c r="W36" s="675">
        <f>'PPP (expired)'!W53</f>
        <v>0</v>
      </c>
      <c r="X36" s="675">
        <f>'PPP (expired)'!X53</f>
        <v>0</v>
      </c>
      <c r="Y36" s="675">
        <f>'PPP (expired)'!Y53</f>
        <v>0</v>
      </c>
      <c r="Z36" s="675">
        <f>'PPP (expired)'!Z53</f>
        <v>0</v>
      </c>
      <c r="AA36" s="675">
        <f>'PPP (expired)'!AA53</f>
        <v>0</v>
      </c>
      <c r="AB36" s="675">
        <f>'PPP (expired)'!AB53</f>
        <v>0</v>
      </c>
      <c r="AC36" s="723">
        <f>'PPP (expired)'!AC53</f>
        <v>0</v>
      </c>
    </row>
    <row r="37" spans="2:101" ht="21.6" customHeight="1" x14ac:dyDescent="0.25">
      <c r="B37" s="454" t="s">
        <v>802</v>
      </c>
      <c r="C37" s="222"/>
      <c r="D37" s="591">
        <f t="shared" ref="D37:AC37" si="13">D109</f>
        <v>0</v>
      </c>
      <c r="E37" s="551">
        <f t="shared" si="13"/>
        <v>0</v>
      </c>
      <c r="F37" s="551">
        <f t="shared" si="13"/>
        <v>0</v>
      </c>
      <c r="G37" s="551">
        <f t="shared" si="13"/>
        <v>0</v>
      </c>
      <c r="H37" s="551">
        <f t="shared" si="13"/>
        <v>0</v>
      </c>
      <c r="I37" s="551">
        <f t="shared" si="13"/>
        <v>-6.6417499999997744</v>
      </c>
      <c r="J37" s="551">
        <f t="shared" si="13"/>
        <v>-38.222083333332648</v>
      </c>
      <c r="K37" s="551">
        <f t="shared" si="13"/>
        <v>84.695583333333389</v>
      </c>
      <c r="L37" s="551">
        <f t="shared" si="13"/>
        <v>16.60225000000014</v>
      </c>
      <c r="M37" s="551">
        <f t="shared" si="13"/>
        <v>16.668916666666519</v>
      </c>
      <c r="N37" s="551">
        <f t="shared" si="13"/>
        <v>-12.19925666666677</v>
      </c>
      <c r="O37" s="551">
        <f t="shared" si="13"/>
        <v>-14.628243333333103</v>
      </c>
      <c r="P37" s="551">
        <f t="shared" si="13"/>
        <v>-31.382416666666586</v>
      </c>
      <c r="Q37" s="551">
        <f t="shared" si="13"/>
        <v>-3.1812166666670691</v>
      </c>
      <c r="R37" s="551">
        <f t="shared" si="13"/>
        <v>-1.8405500000005759</v>
      </c>
      <c r="S37" s="551">
        <f t="shared" si="13"/>
        <v>-17.699883333333901</v>
      </c>
      <c r="T37" s="551">
        <f t="shared" si="13"/>
        <v>19.342783333332591</v>
      </c>
      <c r="U37" s="741">
        <f t="shared" si="13"/>
        <v>40.229804999999715</v>
      </c>
      <c r="V37" s="551">
        <f>V109</f>
        <v>39.814900238094424</v>
      </c>
      <c r="W37" s="675">
        <f t="shared" si="13"/>
        <v>39.814900238094424</v>
      </c>
      <c r="X37" s="675">
        <f t="shared" si="13"/>
        <v>39.814900238094424</v>
      </c>
      <c r="Y37" s="675">
        <f t="shared" si="13"/>
        <v>39.814900238094424</v>
      </c>
      <c r="Z37" s="675">
        <f t="shared" si="13"/>
        <v>39.814900238094424</v>
      </c>
      <c r="AA37" s="675">
        <f t="shared" si="13"/>
        <v>39.814900238094424</v>
      </c>
      <c r="AB37" s="675">
        <f t="shared" si="13"/>
        <v>39.814900238094424</v>
      </c>
      <c r="AC37" s="723">
        <f t="shared" si="13"/>
        <v>39.814900238094424</v>
      </c>
    </row>
    <row r="38" spans="2:101" ht="21" customHeight="1" x14ac:dyDescent="0.25">
      <c r="B38" s="250" t="s">
        <v>799</v>
      </c>
      <c r="C38" s="245"/>
      <c r="D38" s="725">
        <f t="shared" ref="D38:AC38" si="14">D33+D21</f>
        <v>0</v>
      </c>
      <c r="E38" s="635">
        <f t="shared" si="14"/>
        <v>0</v>
      </c>
      <c r="F38" s="635">
        <f t="shared" si="14"/>
        <v>0</v>
      </c>
      <c r="G38" s="635">
        <f t="shared" si="14"/>
        <v>0</v>
      </c>
      <c r="H38" s="635">
        <f t="shared" si="14"/>
        <v>0</v>
      </c>
      <c r="I38" s="635">
        <f t="shared" si="14"/>
        <v>0</v>
      </c>
      <c r="J38" s="635">
        <f t="shared" si="14"/>
        <v>160.9</v>
      </c>
      <c r="K38" s="635">
        <f t="shared" si="14"/>
        <v>58.4</v>
      </c>
      <c r="L38" s="635">
        <f t="shared" si="14"/>
        <v>34.5</v>
      </c>
      <c r="M38" s="635">
        <f t="shared" si="14"/>
        <v>21.4</v>
      </c>
      <c r="N38" s="635">
        <f t="shared" si="14"/>
        <v>13.3</v>
      </c>
      <c r="O38" s="635">
        <f t="shared" si="14"/>
        <v>21.804000000000041</v>
      </c>
      <c r="P38" s="548">
        <f t="shared" si="14"/>
        <v>51.919000000000011</v>
      </c>
      <c r="Q38" s="635">
        <f t="shared" si="14"/>
        <v>46.619</v>
      </c>
      <c r="R38" s="635">
        <f t="shared" si="14"/>
        <v>39.719000000000008</v>
      </c>
      <c r="S38" s="635">
        <f t="shared" si="14"/>
        <v>27.819000000000003</v>
      </c>
      <c r="T38" s="548">
        <f t="shared" si="14"/>
        <v>6.3160000000000007</v>
      </c>
      <c r="U38" s="548">
        <f t="shared" si="14"/>
        <v>1.4159999999999999</v>
      </c>
      <c r="V38" s="743">
        <f t="shared" si="14"/>
        <v>1.4159999999999999</v>
      </c>
      <c r="W38" s="553">
        <f t="shared" si="14"/>
        <v>1.4159999999999999</v>
      </c>
      <c r="X38" s="553">
        <f t="shared" si="14"/>
        <v>1.4790000000000001</v>
      </c>
      <c r="Y38" s="553">
        <f t="shared" si="14"/>
        <v>1.4790000000000001</v>
      </c>
      <c r="Z38" s="553">
        <f t="shared" si="14"/>
        <v>1.4790000000000001</v>
      </c>
      <c r="AA38" s="553">
        <f t="shared" si="14"/>
        <v>1.4790000000000001</v>
      </c>
      <c r="AB38" s="553">
        <f t="shared" si="14"/>
        <v>1.63</v>
      </c>
      <c r="AC38" s="553">
        <f t="shared" si="14"/>
        <v>1.63</v>
      </c>
    </row>
    <row r="39" spans="2:101" ht="44.85" customHeight="1" x14ac:dyDescent="0.25">
      <c r="B39" s="230" t="s">
        <v>806</v>
      </c>
      <c r="C39" s="222"/>
      <c r="D39" s="591">
        <f t="shared" ref="D39:AC39" si="15">D101</f>
        <v>1410.9</v>
      </c>
      <c r="E39" s="551">
        <f t="shared" si="15"/>
        <v>1471.1999999999998</v>
      </c>
      <c r="F39" s="551">
        <f t="shared" si="15"/>
        <v>1477.1000000000001</v>
      </c>
      <c r="G39" s="551">
        <f t="shared" si="15"/>
        <v>1484</v>
      </c>
      <c r="H39" s="551">
        <f t="shared" si="15"/>
        <v>1492</v>
      </c>
      <c r="I39" s="551">
        <f t="shared" si="15"/>
        <v>1543.2999999999997</v>
      </c>
      <c r="J39" s="551">
        <f t="shared" si="15"/>
        <v>1550.2333333333331</v>
      </c>
      <c r="K39" s="551">
        <f t="shared" si="15"/>
        <v>1557.1666666666665</v>
      </c>
      <c r="L39" s="551">
        <f t="shared" si="15"/>
        <v>1564.1</v>
      </c>
      <c r="M39" s="551">
        <f t="shared" si="15"/>
        <v>1588.5533333333333</v>
      </c>
      <c r="N39" s="551">
        <f t="shared" si="15"/>
        <v>1595.4866666666667</v>
      </c>
      <c r="O39" s="551">
        <f t="shared" si="15"/>
        <v>1602.42</v>
      </c>
      <c r="P39" s="551">
        <f t="shared" si="15"/>
        <v>1609.3533333333335</v>
      </c>
      <c r="Q39" s="551">
        <f t="shared" si="15"/>
        <v>1688.207466666667</v>
      </c>
      <c r="R39" s="551">
        <f t="shared" si="15"/>
        <v>1695.1408000000004</v>
      </c>
      <c r="S39" s="551">
        <f t="shared" si="15"/>
        <v>1702.0741333333337</v>
      </c>
      <c r="T39" s="551">
        <f t="shared" si="15"/>
        <v>1709.0074666666671</v>
      </c>
      <c r="U39" s="551">
        <f t="shared" si="15"/>
        <v>1822.5884450000005</v>
      </c>
      <c r="V39" s="551">
        <f t="shared" si="15"/>
        <v>1829.5217783333339</v>
      </c>
      <c r="W39" s="675">
        <f t="shared" si="15"/>
        <v>1836.4551116666673</v>
      </c>
      <c r="X39" s="675">
        <f t="shared" si="15"/>
        <v>1843.3884450000007</v>
      </c>
      <c r="Y39" s="675">
        <f t="shared" si="15"/>
        <v>1892.9800005333341</v>
      </c>
      <c r="Z39" s="675">
        <f t="shared" si="15"/>
        <v>1899.9133338666675</v>
      </c>
      <c r="AA39" s="675">
        <f t="shared" si="15"/>
        <v>1906.8466672000009</v>
      </c>
      <c r="AB39" s="675">
        <f t="shared" si="15"/>
        <v>1913.7800005333343</v>
      </c>
      <c r="AC39" s="723">
        <f t="shared" si="15"/>
        <v>1950.3705249626676</v>
      </c>
    </row>
    <row r="40" spans="2:101" ht="44.85" customHeight="1" x14ac:dyDescent="0.25">
      <c r="B40" s="414" t="s">
        <v>1190</v>
      </c>
      <c r="D40" s="591"/>
      <c r="E40" s="551"/>
      <c r="F40" s="551"/>
      <c r="G40" s="551"/>
      <c r="H40" s="551"/>
      <c r="I40" s="551"/>
      <c r="J40" s="551"/>
      <c r="K40" s="551"/>
      <c r="L40" s="551"/>
      <c r="M40" s="551"/>
      <c r="N40" s="551"/>
      <c r="O40" s="551"/>
      <c r="P40" s="551"/>
      <c r="Q40" s="551"/>
      <c r="R40" s="551"/>
      <c r="S40" s="665">
        <f>'IRA and CHIPS'!E191</f>
        <v>-0.622</v>
      </c>
      <c r="T40" s="665">
        <f>'IRA and CHIPS'!F191</f>
        <v>21.89</v>
      </c>
      <c r="U40" s="665">
        <f>'IRA and CHIPS'!G191</f>
        <v>21.89</v>
      </c>
      <c r="V40" s="665">
        <f>'IRA and CHIPS'!H191</f>
        <v>21.89</v>
      </c>
      <c r="W40" s="678">
        <f>'IRA and CHIPS'!I191</f>
        <v>21.89</v>
      </c>
      <c r="X40" s="678">
        <f>'IRA and CHIPS'!J191</f>
        <v>15.439</v>
      </c>
      <c r="Y40" s="678">
        <f>'IRA and CHIPS'!K191</f>
        <v>15.439</v>
      </c>
      <c r="Z40" s="678">
        <f>'IRA and CHIPS'!L191</f>
        <v>15.439</v>
      </c>
      <c r="AA40" s="678">
        <f>'IRA and CHIPS'!M191</f>
        <v>15.439</v>
      </c>
      <c r="AB40" s="678">
        <f>'IRA and CHIPS'!N191</f>
        <v>16.966999999999999</v>
      </c>
      <c r="AC40" s="747">
        <f>'IRA and CHIPS'!O191</f>
        <v>16.966999999999999</v>
      </c>
    </row>
    <row r="41" spans="2:101" ht="31.35" customHeight="1" x14ac:dyDescent="0.25">
      <c r="B41" s="579" t="s">
        <v>803</v>
      </c>
      <c r="C41" s="245"/>
      <c r="D41" s="548">
        <f t="shared" ref="D41:R41" si="16">D39+SUM(D34:D37)+D40</f>
        <v>1440.9</v>
      </c>
      <c r="E41" s="548">
        <f t="shared" si="16"/>
        <v>1501.1999999999998</v>
      </c>
      <c r="F41" s="548">
        <f t="shared" si="16"/>
        <v>1507.1000000000001</v>
      </c>
      <c r="G41" s="548">
        <f t="shared" si="16"/>
        <v>1514</v>
      </c>
      <c r="H41" s="548">
        <f t="shared" si="16"/>
        <v>1522</v>
      </c>
      <c r="I41" s="548">
        <f t="shared" si="16"/>
        <v>1573.3</v>
      </c>
      <c r="J41" s="548">
        <f t="shared" si="16"/>
        <v>1650.6000000000004</v>
      </c>
      <c r="K41" s="548">
        <f t="shared" si="16"/>
        <v>1808.6</v>
      </c>
      <c r="L41" s="548">
        <f t="shared" si="16"/>
        <v>1697.9</v>
      </c>
      <c r="M41" s="548">
        <f t="shared" si="16"/>
        <v>1739.3999999999999</v>
      </c>
      <c r="N41" s="548">
        <f t="shared" si="16"/>
        <v>1749.07816</v>
      </c>
      <c r="O41" s="548">
        <f t="shared" si="16"/>
        <v>1919.92984</v>
      </c>
      <c r="P41" s="548">
        <f t="shared" si="16"/>
        <v>1894.6239999999998</v>
      </c>
      <c r="Q41" s="548">
        <f t="shared" si="16"/>
        <v>1859.424</v>
      </c>
      <c r="R41" s="548">
        <f t="shared" si="16"/>
        <v>1856.6239999999998</v>
      </c>
      <c r="S41" s="548">
        <f>S39+SUM(S34:S37)+S40</f>
        <v>1839.4019999999998</v>
      </c>
      <c r="T41" s="697">
        <f>T39+SUM(T34:T37)+T40</f>
        <v>1925.9739999999999</v>
      </c>
      <c r="U41" s="697">
        <f>U39+SUM(U34:U37)+U40</f>
        <v>1994.1740000000004</v>
      </c>
      <c r="V41" s="743">
        <f>V39+SUM(V34:V37)+V40</f>
        <v>1973.6454285714285</v>
      </c>
      <c r="W41" s="553">
        <f t="shared" ref="W41:AC41" si="17">W39+SUM(W34:W37)+W40</f>
        <v>1980.5787619047619</v>
      </c>
      <c r="X41" s="553">
        <f t="shared" si="17"/>
        <v>1981.0610952380953</v>
      </c>
      <c r="Y41" s="553">
        <f t="shared" si="17"/>
        <v>2030.6526507714286</v>
      </c>
      <c r="Z41" s="553">
        <f t="shared" si="17"/>
        <v>2037.585984104762</v>
      </c>
      <c r="AA41" s="553">
        <f t="shared" si="17"/>
        <v>2044.5193174380954</v>
      </c>
      <c r="AB41" s="553">
        <f t="shared" si="17"/>
        <v>2052.9806507714288</v>
      </c>
      <c r="AC41" s="553">
        <f t="shared" si="17"/>
        <v>2089.5711752007619</v>
      </c>
    </row>
    <row r="42" spans="2:101" ht="31.35" customHeight="1" x14ac:dyDescent="0.25">
      <c r="B42" s="579"/>
      <c r="C42" s="245"/>
      <c r="D42" s="548"/>
      <c r="E42" s="548"/>
      <c r="F42" s="548"/>
      <c r="G42" s="548"/>
      <c r="H42" s="548"/>
      <c r="I42" s="548"/>
      <c r="J42" s="548"/>
      <c r="K42" s="548"/>
      <c r="L42" s="548"/>
      <c r="M42" s="548"/>
      <c r="N42" s="548"/>
      <c r="O42" s="548"/>
      <c r="P42" s="548"/>
      <c r="Q42" s="548"/>
      <c r="R42" s="548"/>
      <c r="S42" s="548"/>
      <c r="T42" s="548"/>
      <c r="U42" s="548"/>
      <c r="V42" s="548">
        <f>V12-SUM(V14,V17,V18,V21,V32,V33,V34,V35)+V40</f>
        <v>1891.2266785714285</v>
      </c>
      <c r="W42" s="553"/>
      <c r="X42" s="553"/>
      <c r="Y42" s="553"/>
      <c r="Z42" s="553"/>
      <c r="AA42" s="553"/>
      <c r="AB42" s="553"/>
      <c r="AC42" s="553"/>
    </row>
    <row r="43" spans="2:101" ht="31.35" customHeight="1" x14ac:dyDescent="0.25">
      <c r="B43" s="1453" t="s">
        <v>473</v>
      </c>
      <c r="C43" s="1454"/>
      <c r="D43" s="574"/>
      <c r="E43" s="575"/>
      <c r="F43" s="575"/>
      <c r="G43" s="575"/>
      <c r="H43" s="575"/>
      <c r="I43" s="575"/>
      <c r="J43" s="575"/>
      <c r="K43" s="575"/>
      <c r="L43" s="575"/>
      <c r="M43" s="575"/>
      <c r="N43" s="575"/>
      <c r="O43" s="575"/>
      <c r="P43" s="575"/>
      <c r="Q43" s="575"/>
      <c r="R43" s="575"/>
      <c r="S43" s="575"/>
      <c r="T43" s="548"/>
      <c r="U43" s="575"/>
      <c r="V43" s="548">
        <f>V39+V37</f>
        <v>1869.3366785714284</v>
      </c>
      <c r="W43" s="553"/>
      <c r="X43" s="553"/>
      <c r="Y43" s="553"/>
      <c r="Z43" s="553"/>
      <c r="AA43" s="553"/>
      <c r="AB43" s="553"/>
      <c r="AC43" s="690"/>
    </row>
    <row r="44" spans="2:101" x14ac:dyDescent="0.25">
      <c r="B44" s="454" t="s">
        <v>808</v>
      </c>
      <c r="C44" s="222" t="s">
        <v>474</v>
      </c>
      <c r="D44" s="257">
        <f>'Haver Pivoted'!GO37</f>
        <v>733.6</v>
      </c>
      <c r="E44" s="216">
        <f>'Haver Pivoted'!GP37</f>
        <v>744.2</v>
      </c>
      <c r="F44" s="216">
        <f>'Haver Pivoted'!GQ37</f>
        <v>762.1</v>
      </c>
      <c r="G44" s="216">
        <f>'Haver Pivoted'!GR37</f>
        <v>772.2</v>
      </c>
      <c r="H44" s="216">
        <f>'Haver Pivoted'!GS37</f>
        <v>772.4</v>
      </c>
      <c r="I44" s="216">
        <f>'Haver Pivoted'!GT37</f>
        <v>761.7</v>
      </c>
      <c r="J44" s="216">
        <f>'Haver Pivoted'!GU37</f>
        <v>812.1</v>
      </c>
      <c r="K44" s="216">
        <f>'Haver Pivoted'!GV37</f>
        <v>850.2</v>
      </c>
      <c r="L44" s="216">
        <f>'Haver Pivoted'!GW37</f>
        <v>838.8</v>
      </c>
      <c r="M44" s="216">
        <f>'Haver Pivoted'!GX37</f>
        <v>866.1</v>
      </c>
      <c r="N44" s="216">
        <f>'Haver Pivoted'!GY37</f>
        <v>908</v>
      </c>
      <c r="O44" s="216">
        <f>'Haver Pivoted'!GZ37</f>
        <v>915.6</v>
      </c>
      <c r="P44" s="216">
        <f>'Haver Pivoted'!HA37</f>
        <v>912.9</v>
      </c>
      <c r="Q44" s="216">
        <f>'Haver Pivoted'!HB37</f>
        <v>960.5</v>
      </c>
      <c r="R44" s="216">
        <f>'Haver Pivoted'!HC37</f>
        <v>995.3</v>
      </c>
      <c r="S44" s="634">
        <f>'Haver Pivoted'!HD37</f>
        <v>1015.5</v>
      </c>
      <c r="T44" s="634">
        <f>'Haver Pivoted'!HE37</f>
        <v>1078.2</v>
      </c>
      <c r="U44" s="634">
        <f>'Haver Pivoted'!HF37</f>
        <v>1055.7</v>
      </c>
      <c r="V44" s="634">
        <f>'Haver Pivoted'!HG37</f>
        <v>1087.5</v>
      </c>
      <c r="W44" s="680"/>
      <c r="X44" s="680"/>
      <c r="Y44" s="680"/>
      <c r="Z44" s="680"/>
      <c r="AA44" s="680"/>
      <c r="AB44" s="680"/>
      <c r="AC44" s="736"/>
    </row>
    <row r="45" spans="2:101" x14ac:dyDescent="0.25">
      <c r="B45" s="547" t="s">
        <v>209</v>
      </c>
      <c r="C45" s="222"/>
      <c r="D45" s="591">
        <f>Medicaid!D27</f>
        <v>589.5</v>
      </c>
      <c r="E45" s="551">
        <f>Medicaid!E27</f>
        <v>598.70000000000005</v>
      </c>
      <c r="F45" s="551">
        <f>Medicaid!F27</f>
        <v>614.4</v>
      </c>
      <c r="G45" s="551">
        <f>Medicaid!G27</f>
        <v>622.4</v>
      </c>
      <c r="H45" s="551">
        <f>Medicaid!H27</f>
        <v>620.6</v>
      </c>
      <c r="I45" s="551">
        <f>Medicaid!I27</f>
        <v>606.4</v>
      </c>
      <c r="J45" s="551">
        <f>Medicaid!J27</f>
        <v>654.6</v>
      </c>
      <c r="K45" s="551">
        <f>Medicaid!K27</f>
        <v>690.8</v>
      </c>
      <c r="L45" s="551">
        <f>Medicaid!L27</f>
        <v>678.6</v>
      </c>
      <c r="M45" s="551">
        <f>Medicaid!M27</f>
        <v>705</v>
      </c>
      <c r="N45" s="551">
        <f>Medicaid!N27</f>
        <v>745.7</v>
      </c>
      <c r="O45" s="551">
        <f>Medicaid!O27</f>
        <v>749.2</v>
      </c>
      <c r="P45" s="551">
        <f>Medicaid!P27</f>
        <v>746.1</v>
      </c>
      <c r="Q45" s="551">
        <f>Medicaid!Q27</f>
        <v>791.4</v>
      </c>
      <c r="R45" s="551">
        <f>Medicaid!R27</f>
        <v>818.7</v>
      </c>
      <c r="S45" s="634">
        <f>Medicaid!S27</f>
        <v>819</v>
      </c>
      <c r="T45" s="551">
        <f>Medicaid!T27</f>
        <v>828.4</v>
      </c>
      <c r="U45" s="551">
        <f>Medicaid!U27</f>
        <v>871.5</v>
      </c>
      <c r="V45" s="551">
        <f>Medicaid!V27</f>
        <v>911.4</v>
      </c>
      <c r="W45" s="675">
        <f>Medicaid!W27</f>
        <v>880.6</v>
      </c>
      <c r="X45" s="675">
        <f>Medicaid!X27</f>
        <v>868.3</v>
      </c>
      <c r="Y45" s="675">
        <f>Medicaid!Y27</f>
        <v>905.84639409421584</v>
      </c>
      <c r="Z45" s="675">
        <f>Medicaid!Z27</f>
        <v>897.02724353928306</v>
      </c>
      <c r="AA45" s="675">
        <f>Medicaid!AA27</f>
        <v>888.29395457966893</v>
      </c>
      <c r="AB45" s="675">
        <f>Medicaid!AB27</f>
        <v>894.16410112633832</v>
      </c>
      <c r="AC45" s="723">
        <f>Medicaid!AC27</f>
        <v>900.07303958451598</v>
      </c>
    </row>
    <row r="46" spans="2:101" ht="14.85" customHeight="1" x14ac:dyDescent="0.25">
      <c r="B46" s="579" t="s">
        <v>809</v>
      </c>
      <c r="C46" s="245"/>
      <c r="D46" s="590">
        <f>D44-D45</f>
        <v>144.10000000000002</v>
      </c>
      <c r="E46" s="548">
        <f t="shared" ref="E46:O46" si="18">E44-E45</f>
        <v>145.5</v>
      </c>
      <c r="F46" s="548">
        <f t="shared" si="18"/>
        <v>147.70000000000005</v>
      </c>
      <c r="G46" s="548">
        <f t="shared" si="18"/>
        <v>149.80000000000007</v>
      </c>
      <c r="H46" s="548">
        <f t="shared" si="18"/>
        <v>151.79999999999995</v>
      </c>
      <c r="I46" s="548">
        <f t="shared" si="18"/>
        <v>155.30000000000007</v>
      </c>
      <c r="J46" s="548">
        <f t="shared" si="18"/>
        <v>157.5</v>
      </c>
      <c r="K46" s="548">
        <f t="shared" si="18"/>
        <v>159.40000000000009</v>
      </c>
      <c r="L46" s="548">
        <f t="shared" si="18"/>
        <v>160.19999999999993</v>
      </c>
      <c r="M46" s="548">
        <f t="shared" si="18"/>
        <v>161.10000000000002</v>
      </c>
      <c r="N46" s="548">
        <f t="shared" si="18"/>
        <v>162.29999999999995</v>
      </c>
      <c r="O46" s="548">
        <f t="shared" si="18"/>
        <v>166.39999999999998</v>
      </c>
      <c r="P46" s="548">
        <f>P44-P45</f>
        <v>166.79999999999995</v>
      </c>
      <c r="Q46" s="548">
        <f>Q44-Q45</f>
        <v>169.10000000000002</v>
      </c>
      <c r="R46" s="548">
        <f>R44-R45</f>
        <v>176.59999999999991</v>
      </c>
      <c r="S46" s="634">
        <f>S44-S45</f>
        <v>196.5</v>
      </c>
      <c r="T46" s="634">
        <f>T44-T45</f>
        <v>249.80000000000007</v>
      </c>
      <c r="U46" s="548">
        <f>T46*(1+AVERAGE($F$48:$I$48))+U47</f>
        <v>183.90584224202988</v>
      </c>
      <c r="V46" s="743">
        <f>U46*(1+AVERAGE($F$48:$I$48))+V47</f>
        <v>186.92861396193939</v>
      </c>
      <c r="W46" s="553">
        <f t="shared" ref="W46:AC46" si="19">V46*(1+AVERAGE($F$48:$I$48))</f>
        <v>190.00106952418523</v>
      </c>
      <c r="X46" s="553">
        <f t="shared" si="19"/>
        <v>193.12402555814535</v>
      </c>
      <c r="Y46" s="553">
        <f t="shared" si="19"/>
        <v>196.29831211574134</v>
      </c>
      <c r="Z46" s="553">
        <f t="shared" si="19"/>
        <v>199.52477289205825</v>
      </c>
      <c r="AA46" s="553">
        <f t="shared" si="19"/>
        <v>202.80426544959073</v>
      </c>
      <c r="AB46" s="553">
        <f t="shared" si="19"/>
        <v>206.137661446175</v>
      </c>
      <c r="AC46" s="690">
        <f t="shared" si="19"/>
        <v>209.52584686666717</v>
      </c>
    </row>
    <row r="47" spans="2:101" ht="14.85" customHeight="1" x14ac:dyDescent="0.25">
      <c r="B47" s="579" t="s">
        <v>1700</v>
      </c>
      <c r="C47" s="245"/>
      <c r="D47" s="590"/>
      <c r="E47" s="548"/>
      <c r="F47" s="548"/>
      <c r="G47" s="548"/>
      <c r="H47" s="548"/>
      <c r="I47" s="548"/>
      <c r="J47" s="548"/>
      <c r="K47" s="548"/>
      <c r="L47" s="548"/>
      <c r="M47" s="548"/>
      <c r="N47" s="548"/>
      <c r="O47" s="548"/>
      <c r="P47" s="548"/>
      <c r="Q47" s="548"/>
      <c r="R47" s="548"/>
      <c r="S47" s="634"/>
      <c r="T47" s="548"/>
      <c r="U47" s="548">
        <v>-70</v>
      </c>
      <c r="V47" s="548"/>
      <c r="W47" s="553"/>
      <c r="X47" s="553"/>
      <c r="Y47" s="553"/>
      <c r="Z47" s="553"/>
      <c r="AA47" s="553"/>
      <c r="AB47" s="553"/>
      <c r="AC47" s="690"/>
    </row>
    <row r="48" spans="2:101" x14ac:dyDescent="0.25">
      <c r="B48" s="717" t="s">
        <v>810</v>
      </c>
      <c r="C48" s="345"/>
      <c r="D48" s="592"/>
      <c r="E48" s="578">
        <f>E46/D46-1</f>
        <v>9.7154753643302616E-3</v>
      </c>
      <c r="F48" s="578">
        <f t="shared" ref="F48:N48" si="20">F46/E46-1</f>
        <v>1.5120274914089737E-2</v>
      </c>
      <c r="G48" s="578">
        <f t="shared" si="20"/>
        <v>1.4218009478673244E-2</v>
      </c>
      <c r="H48" s="578">
        <f t="shared" si="20"/>
        <v>1.3351134846461221E-2</v>
      </c>
      <c r="I48" s="578">
        <f t="shared" si="20"/>
        <v>2.3056653491436929E-2</v>
      </c>
      <c r="J48" s="578">
        <f t="shared" si="20"/>
        <v>1.416613007083023E-2</v>
      </c>
      <c r="K48" s="578">
        <f t="shared" si="20"/>
        <v>1.2063492063492554E-2</v>
      </c>
      <c r="L48" s="578">
        <f t="shared" si="20"/>
        <v>5.0188205771632965E-3</v>
      </c>
      <c r="M48" s="578">
        <f t="shared" si="20"/>
        <v>5.6179775280904565E-3</v>
      </c>
      <c r="N48" s="578">
        <f t="shared" si="20"/>
        <v>7.4487895716941477E-3</v>
      </c>
      <c r="O48" s="578">
        <f>O46/N46-1</f>
        <v>2.5261860751694565E-2</v>
      </c>
      <c r="P48" s="578">
        <f t="shared" ref="P48:S48" si="21">P46/O46-1</f>
        <v>2.4038461538460343E-3</v>
      </c>
      <c r="Q48" s="578">
        <f t="shared" si="21"/>
        <v>1.3788968824940406E-2</v>
      </c>
      <c r="R48" s="578">
        <f t="shared" si="21"/>
        <v>4.4352454169130029E-2</v>
      </c>
      <c r="S48" s="654">
        <f t="shared" si="21"/>
        <v>0.1126840317100799</v>
      </c>
      <c r="T48" s="550"/>
      <c r="U48" s="550"/>
      <c r="V48" s="550"/>
      <c r="W48" s="586"/>
      <c r="X48" s="586"/>
      <c r="Y48" s="586"/>
      <c r="Z48" s="586"/>
      <c r="AA48" s="586"/>
      <c r="AB48" s="586"/>
      <c r="AC48" s="689"/>
    </row>
    <row r="51" spans="2:39" x14ac:dyDescent="0.25">
      <c r="B51" s="1401"/>
      <c r="C51" s="1401"/>
      <c r="U51" s="216"/>
      <c r="V51" s="216"/>
      <c r="W51" s="216"/>
      <c r="X51" s="216"/>
      <c r="Y51" s="216"/>
      <c r="Z51" s="216"/>
      <c r="AA51" s="216"/>
      <c r="AB51" s="216"/>
      <c r="AC51" s="216"/>
    </row>
    <row r="52" spans="2:39" x14ac:dyDescent="0.25">
      <c r="B52" s="464"/>
      <c r="C52" s="222"/>
      <c r="U52" s="551"/>
      <c r="V52" s="551">
        <f>V40+V39+V34+V35+V36+V37</f>
        <v>1973.6454285714285</v>
      </c>
      <c r="W52" s="551"/>
      <c r="X52" s="551"/>
      <c r="Y52" s="551"/>
      <c r="Z52" s="551"/>
      <c r="AA52" s="551"/>
      <c r="AB52" s="551"/>
      <c r="AC52" s="551"/>
      <c r="AD52" s="512"/>
      <c r="AE52" s="512"/>
      <c r="AF52" s="512"/>
      <c r="AG52" s="512"/>
      <c r="AH52" s="512"/>
      <c r="AI52" s="512"/>
      <c r="AJ52" s="512"/>
      <c r="AK52" s="512"/>
      <c r="AL52" s="512"/>
      <c r="AM52" s="512"/>
    </row>
    <row r="53" spans="2:39" x14ac:dyDescent="0.25">
      <c r="B53" s="464"/>
      <c r="C53" s="222"/>
      <c r="U53" s="216"/>
      <c r="V53" s="216"/>
      <c r="W53" s="216"/>
      <c r="X53" s="216"/>
      <c r="Y53" s="216"/>
      <c r="Z53" s="216"/>
      <c r="AA53" s="216"/>
      <c r="AB53" s="216"/>
      <c r="AC53" s="216"/>
      <c r="AD53" s="512"/>
      <c r="AE53" s="512"/>
      <c r="AF53" s="512"/>
      <c r="AG53" s="512"/>
      <c r="AH53" s="512"/>
      <c r="AI53" s="512"/>
      <c r="AJ53" s="512"/>
      <c r="AK53" s="512"/>
      <c r="AL53" s="512"/>
      <c r="AM53" s="512"/>
    </row>
    <row r="54" spans="2:39" ht="28.5" customHeight="1" x14ac:dyDescent="0.25">
      <c r="B54" s="231"/>
      <c r="C54" s="222"/>
      <c r="U54" s="551"/>
      <c r="V54" s="551"/>
      <c r="W54" s="551"/>
      <c r="X54" s="551"/>
      <c r="Y54" s="551"/>
      <c r="Z54" s="551"/>
      <c r="AA54" s="551"/>
      <c r="AB54" s="551"/>
      <c r="AC54" s="551"/>
      <c r="AD54" s="512"/>
      <c r="AE54" s="512"/>
      <c r="AF54" s="512"/>
      <c r="AG54" s="512"/>
      <c r="AH54" s="512"/>
      <c r="AI54" s="512"/>
      <c r="AJ54" s="512"/>
      <c r="AK54" s="512"/>
      <c r="AL54" s="512"/>
      <c r="AM54" s="512"/>
    </row>
    <row r="55" spans="2:39" x14ac:dyDescent="0.25">
      <c r="B55" s="231"/>
      <c r="C55" s="222"/>
      <c r="U55" s="551"/>
      <c r="V55" s="551"/>
      <c r="W55" s="551"/>
      <c r="X55" s="551"/>
      <c r="Y55" s="551"/>
      <c r="Z55" s="551"/>
      <c r="AA55" s="551"/>
      <c r="AB55" s="551"/>
      <c r="AC55" s="551"/>
      <c r="AD55" s="512"/>
      <c r="AE55" s="512"/>
      <c r="AF55" s="512"/>
      <c r="AG55" s="512"/>
      <c r="AH55" s="512"/>
      <c r="AI55" s="512"/>
      <c r="AJ55" s="512"/>
      <c r="AK55" s="512"/>
      <c r="AL55" s="512"/>
      <c r="AM55" s="512"/>
    </row>
    <row r="56" spans="2:39" x14ac:dyDescent="0.25">
      <c r="B56" s="464"/>
      <c r="C56" s="222"/>
      <c r="U56" s="551"/>
      <c r="V56" s="551"/>
      <c r="W56" s="551"/>
      <c r="X56" s="551"/>
      <c r="Y56" s="551"/>
      <c r="Z56" s="551"/>
      <c r="AA56" s="551"/>
      <c r="AB56" s="551"/>
      <c r="AC56" s="551"/>
      <c r="AD56" s="512"/>
      <c r="AE56" s="512"/>
      <c r="AF56" s="512"/>
      <c r="AG56" s="512"/>
      <c r="AH56" s="512"/>
      <c r="AI56" s="512"/>
      <c r="AJ56" s="512"/>
      <c r="AK56" s="512"/>
      <c r="AL56" s="512"/>
      <c r="AM56" s="512"/>
    </row>
    <row r="57" spans="2:39" x14ac:dyDescent="0.25">
      <c r="B57" s="237"/>
      <c r="C57" s="245"/>
      <c r="U57" s="548"/>
      <c r="V57" s="548"/>
      <c r="W57" s="548"/>
      <c r="X57" s="548"/>
      <c r="Y57" s="548"/>
      <c r="Z57" s="548"/>
      <c r="AA57" s="548"/>
      <c r="AB57" s="548"/>
      <c r="AC57" s="548"/>
      <c r="AD57" s="512"/>
      <c r="AE57" s="512"/>
      <c r="AF57" s="512"/>
      <c r="AG57" s="512"/>
      <c r="AH57" s="512"/>
      <c r="AI57" s="512"/>
      <c r="AJ57" s="512"/>
      <c r="AK57" s="512"/>
      <c r="AL57" s="512"/>
      <c r="AM57" s="512"/>
    </row>
    <row r="58" spans="2:39" x14ac:dyDescent="0.25">
      <c r="B58" s="231"/>
      <c r="C58" s="681"/>
      <c r="U58" s="551"/>
      <c r="V58" s="551"/>
      <c r="W58" s="551"/>
      <c r="X58" s="551"/>
      <c r="Y58" s="551"/>
      <c r="Z58" s="551"/>
      <c r="AA58" s="551"/>
      <c r="AB58" s="551"/>
      <c r="AC58" s="551"/>
      <c r="AD58" s="512"/>
      <c r="AE58" s="512"/>
      <c r="AF58" s="512"/>
      <c r="AG58" s="512"/>
      <c r="AH58" s="512"/>
      <c r="AI58" s="512"/>
      <c r="AJ58" s="512"/>
      <c r="AK58" s="512"/>
      <c r="AL58" s="512"/>
      <c r="AM58" s="512"/>
    </row>
    <row r="59" spans="2:39" x14ac:dyDescent="0.25">
      <c r="B59" s="231"/>
      <c r="C59" s="681"/>
      <c r="U59" s="211"/>
      <c r="V59" s="211"/>
      <c r="W59" s="211"/>
      <c r="X59" s="211"/>
      <c r="Y59" s="211"/>
      <c r="Z59" s="211"/>
      <c r="AA59" s="211"/>
      <c r="AB59" s="211"/>
      <c r="AC59" s="211"/>
      <c r="AD59" s="512"/>
      <c r="AE59" s="512"/>
      <c r="AF59" s="512"/>
      <c r="AG59" s="512"/>
      <c r="AH59" s="512"/>
      <c r="AI59" s="512"/>
      <c r="AJ59" s="512"/>
      <c r="AK59" s="512"/>
      <c r="AL59" s="512"/>
      <c r="AM59" s="512"/>
    </row>
    <row r="60" spans="2:39" x14ac:dyDescent="0.25">
      <c r="B60" s="231"/>
      <c r="C60" s="222"/>
      <c r="U60" s="551"/>
      <c r="V60" s="551"/>
      <c r="W60" s="551"/>
      <c r="X60" s="551"/>
      <c r="Y60" s="551"/>
      <c r="Z60" s="551"/>
      <c r="AA60" s="551"/>
      <c r="AB60" s="551"/>
      <c r="AC60" s="551"/>
      <c r="AD60" s="512"/>
      <c r="AE60" s="512"/>
      <c r="AF60" s="512"/>
      <c r="AG60" s="512"/>
      <c r="AH60" s="512"/>
      <c r="AI60" s="512"/>
      <c r="AJ60" s="512"/>
      <c r="AK60" s="512"/>
      <c r="AL60" s="512"/>
      <c r="AM60" s="512"/>
    </row>
    <row r="61" spans="2:39" x14ac:dyDescent="0.25">
      <c r="B61" s="231"/>
      <c r="C61" s="222"/>
      <c r="U61" s="551"/>
      <c r="V61" s="551"/>
      <c r="W61" s="551"/>
      <c r="X61" s="551"/>
      <c r="Y61" s="551"/>
      <c r="Z61" s="551"/>
      <c r="AA61" s="551"/>
      <c r="AB61" s="551"/>
      <c r="AC61" s="551"/>
      <c r="AD61" s="512"/>
      <c r="AE61" s="512"/>
      <c r="AF61" s="512"/>
      <c r="AG61" s="512"/>
      <c r="AH61" s="512"/>
      <c r="AI61" s="512"/>
      <c r="AJ61" s="512"/>
      <c r="AK61" s="512"/>
      <c r="AL61" s="512"/>
      <c r="AM61" s="512"/>
    </row>
    <row r="62" spans="2:39" x14ac:dyDescent="0.25">
      <c r="B62" s="231"/>
      <c r="C62" s="222"/>
      <c r="U62" s="551"/>
      <c r="V62" s="551"/>
      <c r="W62" s="551"/>
      <c r="X62" s="551"/>
      <c r="Y62" s="551"/>
      <c r="Z62" s="551"/>
      <c r="AA62" s="551"/>
      <c r="AB62" s="551"/>
      <c r="AC62" s="551"/>
      <c r="AD62" s="512"/>
      <c r="AE62" s="512"/>
      <c r="AF62" s="512"/>
      <c r="AG62" s="512"/>
      <c r="AH62" s="512"/>
      <c r="AI62" s="512"/>
      <c r="AJ62" s="512"/>
      <c r="AK62" s="512"/>
      <c r="AL62" s="512"/>
      <c r="AM62" s="512"/>
    </row>
    <row r="63" spans="2:39" x14ac:dyDescent="0.25">
      <c r="B63" s="464"/>
      <c r="C63" s="222"/>
      <c r="U63" s="551"/>
      <c r="V63" s="551"/>
      <c r="W63" s="551"/>
      <c r="X63" s="551"/>
      <c r="Y63" s="551"/>
      <c r="Z63" s="551"/>
      <c r="AA63" s="551"/>
      <c r="AB63" s="551"/>
      <c r="AC63" s="551"/>
      <c r="AD63" s="512"/>
      <c r="AE63" s="512"/>
      <c r="AF63" s="512"/>
      <c r="AG63" s="512"/>
      <c r="AH63" s="512"/>
      <c r="AI63" s="512"/>
      <c r="AJ63" s="512"/>
      <c r="AK63" s="512"/>
      <c r="AL63" s="512"/>
      <c r="AM63" s="512"/>
    </row>
    <row r="64" spans="2:39" x14ac:dyDescent="0.25">
      <c r="B64" s="237"/>
      <c r="C64" s="245"/>
      <c r="U64" s="635"/>
      <c r="V64" s="635"/>
      <c r="W64" s="635"/>
      <c r="X64" s="635"/>
      <c r="Y64" s="635"/>
      <c r="Z64" s="635"/>
      <c r="AA64" s="635"/>
      <c r="AB64" s="635"/>
      <c r="AC64" s="635"/>
      <c r="AD64" s="512"/>
      <c r="AE64" s="512"/>
      <c r="AF64" s="512"/>
      <c r="AG64" s="512"/>
      <c r="AH64" s="512"/>
      <c r="AI64" s="512"/>
      <c r="AJ64" s="512"/>
      <c r="AK64" s="512"/>
      <c r="AL64" s="512"/>
      <c r="AM64" s="512"/>
    </row>
    <row r="65" spans="2:39" ht="28.5" customHeight="1" x14ac:dyDescent="0.25">
      <c r="B65" s="231"/>
      <c r="C65" s="222"/>
      <c r="U65" s="551"/>
      <c r="V65" s="551"/>
      <c r="W65" s="551"/>
      <c r="X65" s="551"/>
      <c r="Y65" s="551"/>
      <c r="Z65" s="551"/>
      <c r="AA65" s="551"/>
      <c r="AB65" s="551"/>
      <c r="AC65" s="551"/>
      <c r="AD65" s="512"/>
      <c r="AE65" s="512"/>
      <c r="AF65" s="512"/>
      <c r="AG65" s="512"/>
      <c r="AH65" s="512"/>
      <c r="AI65" s="512"/>
      <c r="AJ65" s="512"/>
      <c r="AK65" s="512"/>
      <c r="AL65" s="512"/>
      <c r="AM65" s="512"/>
    </row>
    <row r="66" spans="2:39" x14ac:dyDescent="0.25">
      <c r="B66" s="366"/>
      <c r="C66" s="35"/>
      <c r="U66" s="665"/>
      <c r="V66" s="665"/>
      <c r="W66" s="665"/>
      <c r="X66" s="665"/>
      <c r="Y66" s="665"/>
      <c r="Z66" s="665"/>
      <c r="AA66" s="665"/>
      <c r="AB66" s="665"/>
      <c r="AC66" s="665"/>
      <c r="AD66" s="512"/>
      <c r="AE66" s="512"/>
      <c r="AF66" s="512"/>
      <c r="AG66" s="512"/>
      <c r="AH66" s="512"/>
      <c r="AI66" s="512"/>
      <c r="AJ66" s="512"/>
      <c r="AK66" s="512"/>
      <c r="AL66" s="512"/>
      <c r="AM66" s="512"/>
    </row>
    <row r="67" spans="2:39" x14ac:dyDescent="0.25">
      <c r="B67" s="245"/>
      <c r="C67" s="245"/>
      <c r="U67" s="548"/>
      <c r="V67" s="548"/>
      <c r="W67" s="548"/>
      <c r="X67" s="548"/>
      <c r="Y67" s="548"/>
      <c r="Z67" s="548"/>
      <c r="AA67" s="548"/>
      <c r="AB67" s="548"/>
      <c r="AC67" s="548"/>
      <c r="AD67" s="512"/>
      <c r="AE67" s="512"/>
      <c r="AF67" s="512"/>
      <c r="AG67" s="512"/>
      <c r="AH67" s="512"/>
      <c r="AI67" s="512"/>
      <c r="AJ67" s="512"/>
      <c r="AK67" s="512"/>
      <c r="AL67" s="512"/>
      <c r="AM67" s="512"/>
    </row>
    <row r="68" spans="2:39" x14ac:dyDescent="0.25">
      <c r="B68" s="1401"/>
      <c r="C68" s="1401"/>
      <c r="U68" s="548"/>
      <c r="V68" s="548"/>
      <c r="W68" s="548"/>
      <c r="X68" s="548"/>
      <c r="Y68" s="548"/>
      <c r="Z68" s="548"/>
      <c r="AA68" s="548"/>
      <c r="AB68" s="548"/>
      <c r="AC68" s="548"/>
      <c r="AD68" s="512"/>
      <c r="AE68" s="512"/>
      <c r="AF68" s="512"/>
      <c r="AG68" s="512"/>
      <c r="AH68" s="512"/>
      <c r="AI68" s="512"/>
      <c r="AJ68" s="512"/>
      <c r="AK68" s="512"/>
      <c r="AL68" s="512"/>
      <c r="AM68" s="512"/>
    </row>
    <row r="69" spans="2:39" x14ac:dyDescent="0.25">
      <c r="B69" s="464"/>
      <c r="C69" s="222"/>
      <c r="U69" s="222"/>
      <c r="V69" s="222"/>
      <c r="W69" s="222"/>
      <c r="X69" s="222"/>
      <c r="Y69" s="222"/>
      <c r="Z69" s="222"/>
      <c r="AA69" s="222"/>
      <c r="AB69" s="222"/>
      <c r="AC69" s="222"/>
      <c r="AD69" s="512"/>
      <c r="AE69" s="512"/>
      <c r="AF69" s="512"/>
      <c r="AG69" s="512"/>
      <c r="AH69" s="512"/>
      <c r="AI69" s="512"/>
      <c r="AJ69" s="512"/>
      <c r="AK69" s="512"/>
      <c r="AL69" s="512"/>
      <c r="AM69" s="512"/>
    </row>
    <row r="70" spans="2:39" x14ac:dyDescent="0.25">
      <c r="B70" s="222"/>
      <c r="C70" s="222"/>
      <c r="U70" s="551"/>
      <c r="V70" s="551"/>
      <c r="W70" s="551"/>
      <c r="X70" s="551"/>
      <c r="Y70" s="551"/>
      <c r="Z70" s="551"/>
      <c r="AA70" s="551"/>
      <c r="AB70" s="551"/>
      <c r="AC70" s="551"/>
      <c r="AD70" s="512"/>
      <c r="AE70" s="512"/>
      <c r="AF70" s="512"/>
      <c r="AG70" s="512"/>
      <c r="AH70" s="512"/>
      <c r="AI70" s="512"/>
      <c r="AJ70" s="512"/>
      <c r="AK70" s="512"/>
      <c r="AL70" s="512"/>
      <c r="AM70" s="512"/>
    </row>
    <row r="71" spans="2:39" x14ac:dyDescent="0.25">
      <c r="B71" s="245"/>
      <c r="C71" s="245"/>
      <c r="U71" s="548"/>
      <c r="V71" s="548"/>
      <c r="W71" s="548"/>
      <c r="X71" s="548"/>
      <c r="Y71" s="548"/>
      <c r="Z71" s="548"/>
      <c r="AA71" s="548"/>
      <c r="AB71" s="548"/>
      <c r="AC71" s="548"/>
      <c r="AD71" s="512"/>
      <c r="AE71" s="512"/>
      <c r="AF71" s="512"/>
      <c r="AG71" s="512"/>
      <c r="AH71" s="512"/>
      <c r="AI71" s="512"/>
      <c r="AJ71" s="512"/>
      <c r="AK71" s="512"/>
      <c r="AL71" s="512"/>
      <c r="AM71" s="512"/>
    </row>
    <row r="72" spans="2:39" x14ac:dyDescent="0.25">
      <c r="B72" s="245"/>
      <c r="C72" s="245"/>
      <c r="U72" s="548"/>
      <c r="V72" s="548"/>
      <c r="W72" s="548"/>
      <c r="X72" s="548"/>
      <c r="Y72" s="548"/>
      <c r="Z72" s="548"/>
      <c r="AA72" s="548"/>
      <c r="AB72" s="548"/>
      <c r="AC72" s="548"/>
      <c r="AD72" s="512"/>
      <c r="AE72" s="512"/>
      <c r="AF72" s="512"/>
      <c r="AG72" s="512"/>
      <c r="AH72" s="512"/>
      <c r="AI72" s="512"/>
      <c r="AJ72" s="512"/>
      <c r="AK72" s="512"/>
      <c r="AL72" s="512"/>
      <c r="AM72" s="512"/>
    </row>
    <row r="73" spans="2:39" x14ac:dyDescent="0.25">
      <c r="B73" s="682"/>
      <c r="C73" s="222"/>
      <c r="U73" s="551"/>
      <c r="V73" s="551"/>
      <c r="W73" s="551"/>
      <c r="X73" s="551"/>
      <c r="Y73" s="551"/>
      <c r="Z73" s="551"/>
      <c r="AA73" s="551"/>
      <c r="AB73" s="551"/>
      <c r="AC73" s="551"/>
      <c r="AD73" s="512"/>
      <c r="AE73" s="512"/>
      <c r="AF73" s="512"/>
      <c r="AG73" s="512"/>
      <c r="AH73" s="512"/>
      <c r="AI73" s="512"/>
      <c r="AJ73" s="512"/>
      <c r="AK73" s="512"/>
      <c r="AL73" s="512"/>
      <c r="AM73" s="512"/>
    </row>
    <row r="75" spans="2:39" x14ac:dyDescent="0.25">
      <c r="U75" s="1452"/>
      <c r="V75" s="1452"/>
      <c r="W75" s="1452"/>
      <c r="X75" s="1452"/>
    </row>
    <row r="76" spans="2:39" x14ac:dyDescent="0.25">
      <c r="U76" s="1452"/>
      <c r="V76" s="1452"/>
      <c r="W76" s="1452"/>
      <c r="X76" s="1452"/>
    </row>
    <row r="77" spans="2:39" x14ac:dyDescent="0.25">
      <c r="U77" s="1452"/>
      <c r="V77" s="1452"/>
      <c r="W77" s="1452"/>
      <c r="X77" s="1452"/>
    </row>
    <row r="79" spans="2:39" x14ac:dyDescent="0.25">
      <c r="P79" s="478"/>
      <c r="Q79" s="478"/>
    </row>
    <row r="80" spans="2:39" x14ac:dyDescent="0.25">
      <c r="B80" s="509" t="s">
        <v>352</v>
      </c>
      <c r="D80" s="551"/>
      <c r="E80" s="551"/>
      <c r="F80" s="551"/>
      <c r="G80" s="551"/>
      <c r="H80" s="551"/>
      <c r="I80" s="551"/>
      <c r="J80" s="551"/>
      <c r="K80" s="551"/>
      <c r="L80" s="551"/>
      <c r="M80" s="551"/>
      <c r="N80" s="551"/>
      <c r="O80" s="551"/>
      <c r="P80" s="551"/>
      <c r="Q80" s="551"/>
      <c r="R80" s="551"/>
      <c r="S80" s="551"/>
      <c r="T80" s="551"/>
      <c r="U80" s="551"/>
      <c r="V80" s="551"/>
      <c r="W80" s="551"/>
      <c r="X80" s="551"/>
      <c r="Y80" s="551"/>
      <c r="Z80" s="551"/>
      <c r="AA80" s="551"/>
      <c r="AB80" s="551"/>
      <c r="AC80" s="551"/>
    </row>
    <row r="81" spans="2:33" ht="45.75" customHeight="1" x14ac:dyDescent="0.25">
      <c r="B81" s="1455" t="s">
        <v>477</v>
      </c>
      <c r="C81" s="1455"/>
      <c r="D81" s="1455"/>
      <c r="E81" s="1455"/>
      <c r="F81" s="1455"/>
      <c r="G81" s="1455"/>
      <c r="H81" s="1455"/>
      <c r="I81" s="1455"/>
      <c r="J81" s="1455"/>
      <c r="K81" s="1455"/>
      <c r="L81" s="1455"/>
      <c r="M81" s="1455"/>
      <c r="N81" s="1455"/>
      <c r="O81" s="1455"/>
      <c r="P81" s="1455"/>
      <c r="Q81" s="1455"/>
      <c r="R81" s="1455"/>
      <c r="S81" s="1455"/>
      <c r="T81" s="1455"/>
      <c r="U81" s="1455"/>
      <c r="V81" s="1455"/>
      <c r="W81" s="1455"/>
      <c r="X81" s="1455"/>
      <c r="Y81" s="1455"/>
      <c r="Z81" s="1455"/>
      <c r="AA81" s="1455"/>
      <c r="AB81" s="1455"/>
      <c r="AC81" s="1455"/>
    </row>
    <row r="82" spans="2:33" ht="14.85" customHeight="1" x14ac:dyDescent="0.25">
      <c r="B82" s="1364" t="s">
        <v>478</v>
      </c>
      <c r="C82" s="1365"/>
      <c r="D82" s="1427" t="s">
        <v>280</v>
      </c>
      <c r="E82" s="1428"/>
      <c r="F82" s="1428"/>
      <c r="G82" s="1428"/>
      <c r="H82" s="1428"/>
      <c r="I82" s="1428"/>
      <c r="J82" s="1428"/>
      <c r="K82" s="1428"/>
      <c r="L82" s="1428"/>
      <c r="M82" s="1428"/>
      <c r="N82" s="1428"/>
      <c r="O82" s="1428"/>
      <c r="P82" s="1428"/>
      <c r="Q82" s="1428"/>
      <c r="R82" s="1428"/>
      <c r="S82" s="1428"/>
      <c r="T82" s="1428"/>
      <c r="U82" s="1428"/>
      <c r="V82" s="1461"/>
      <c r="W82" s="1390" t="s">
        <v>281</v>
      </c>
      <c r="X82" s="1391"/>
      <c r="Y82" s="1391"/>
      <c r="Z82" s="1391"/>
      <c r="AA82" s="1391"/>
      <c r="AB82" s="1391"/>
      <c r="AC82" s="1391"/>
      <c r="AD82" s="1391"/>
      <c r="AE82" s="1391"/>
      <c r="AF82" s="1391"/>
      <c r="AG82" s="1391"/>
    </row>
    <row r="83" spans="2:33" x14ac:dyDescent="0.25">
      <c r="B83" s="1364"/>
      <c r="C83" s="1365"/>
      <c r="D83" s="200">
        <v>2018</v>
      </c>
      <c r="E83" s="1371">
        <v>2019</v>
      </c>
      <c r="F83" s="1372"/>
      <c r="G83" s="1372"/>
      <c r="H83" s="1373"/>
      <c r="I83" s="1371">
        <v>2020</v>
      </c>
      <c r="J83" s="1372"/>
      <c r="K83" s="1372"/>
      <c r="L83" s="1372"/>
      <c r="M83" s="1371">
        <v>2021</v>
      </c>
      <c r="N83" s="1372"/>
      <c r="O83" s="1372"/>
      <c r="P83" s="1372"/>
      <c r="Q83" s="1371">
        <v>2022</v>
      </c>
      <c r="R83" s="1403"/>
      <c r="S83" s="1403"/>
      <c r="T83" s="1373"/>
      <c r="U83" s="270"/>
      <c r="V83" s="556">
        <v>2023</v>
      </c>
      <c r="W83" s="552"/>
      <c r="X83" s="242"/>
      <c r="Y83" s="1368">
        <v>2024</v>
      </c>
      <c r="Z83" s="1381"/>
      <c r="AA83" s="1381"/>
      <c r="AB83" s="1370"/>
      <c r="AC83" s="1368">
        <v>2025</v>
      </c>
      <c r="AD83" s="1381"/>
      <c r="AE83" s="1381"/>
      <c r="AF83" s="1370"/>
      <c r="AG83" s="498">
        <v>2026</v>
      </c>
    </row>
    <row r="84" spans="2:33" x14ac:dyDescent="0.25">
      <c r="B84" s="1366"/>
      <c r="C84" s="1367"/>
      <c r="D84" s="195" t="s">
        <v>282</v>
      </c>
      <c r="E84" s="195" t="s">
        <v>283</v>
      </c>
      <c r="F84" s="196" t="s">
        <v>284</v>
      </c>
      <c r="G84" s="196" t="s">
        <v>238</v>
      </c>
      <c r="H84" s="197" t="s">
        <v>282</v>
      </c>
      <c r="I84" s="196" t="s">
        <v>283</v>
      </c>
      <c r="J84" s="196" t="s">
        <v>284</v>
      </c>
      <c r="K84" s="196" t="s">
        <v>238</v>
      </c>
      <c r="L84" s="196" t="s">
        <v>282</v>
      </c>
      <c r="M84" s="195" t="s">
        <v>283</v>
      </c>
      <c r="N84" s="196" t="s">
        <v>284</v>
      </c>
      <c r="O84" s="196" t="s">
        <v>238</v>
      </c>
      <c r="P84" s="196" t="s">
        <v>282</v>
      </c>
      <c r="Q84" s="195" t="s">
        <v>283</v>
      </c>
      <c r="R84" s="196" t="s">
        <v>284</v>
      </c>
      <c r="S84" s="196" t="s">
        <v>238</v>
      </c>
      <c r="T84" s="197" t="s">
        <v>282</v>
      </c>
      <c r="U84" s="196" t="s">
        <v>283</v>
      </c>
      <c r="V84" s="268" t="s">
        <v>284</v>
      </c>
      <c r="W84" s="252" t="s">
        <v>238</v>
      </c>
      <c r="X84" s="253" t="s">
        <v>282</v>
      </c>
      <c r="Y84" s="251" t="s">
        <v>283</v>
      </c>
      <c r="Z84" s="249" t="s">
        <v>284</v>
      </c>
      <c r="AA84" s="252" t="s">
        <v>238</v>
      </c>
      <c r="AB84" s="252" t="s">
        <v>282</v>
      </c>
      <c r="AC84" s="251" t="s">
        <v>283</v>
      </c>
      <c r="AD84" s="249" t="s">
        <v>284</v>
      </c>
      <c r="AE84" s="252" t="s">
        <v>238</v>
      </c>
      <c r="AF84" s="252" t="s">
        <v>282</v>
      </c>
      <c r="AG84" s="251" t="s">
        <v>283</v>
      </c>
    </row>
    <row r="85" spans="2:33" x14ac:dyDescent="0.25">
      <c r="B85" s="547" t="s">
        <v>1439</v>
      </c>
      <c r="D85" s="235"/>
      <c r="E85" s="291"/>
      <c r="F85" s="291"/>
      <c r="G85" s="291"/>
      <c r="H85" s="291"/>
      <c r="I85" s="571">
        <f>(I86-AVERAGE($E86:$H86))</f>
        <v>6.6417500000000018</v>
      </c>
      <c r="J85" s="571">
        <f t="shared" ref="J85:U85" si="22">(J86-AVERAGE($E86:$H86))</f>
        <v>51.388749999999995</v>
      </c>
      <c r="K85" s="571">
        <f t="shared" si="22"/>
        <v>55.337750000000007</v>
      </c>
      <c r="L85" s="571">
        <f t="shared" si="22"/>
        <v>62.597749999999998</v>
      </c>
      <c r="M85" s="571">
        <f t="shared" si="22"/>
        <v>88.07774999999998</v>
      </c>
      <c r="N85" s="571">
        <f t="shared" si="22"/>
        <v>102.89075</v>
      </c>
      <c r="O85" s="571">
        <f t="shared" si="22"/>
        <v>94.404750000000007</v>
      </c>
      <c r="P85" s="571">
        <f t="shared" si="22"/>
        <v>91.919749999999993</v>
      </c>
      <c r="Q85" s="571">
        <f t="shared" si="22"/>
        <v>80.097749999999991</v>
      </c>
      <c r="R85" s="571">
        <f t="shared" si="22"/>
        <v>69.023750000000007</v>
      </c>
      <c r="S85" s="572">
        <f t="shared" si="22"/>
        <v>61.349750000000007</v>
      </c>
      <c r="T85" s="559">
        <f t="shared" si="22"/>
        <v>81.433750000000003</v>
      </c>
      <c r="U85" s="572">
        <f t="shared" si="22"/>
        <v>75.465749999999986</v>
      </c>
      <c r="V85" s="572">
        <f>(V86-AVERAGE($E86:$H86))</f>
        <v>48.418749999999996</v>
      </c>
      <c r="W85" s="726">
        <f>V85</f>
        <v>48.418749999999996</v>
      </c>
      <c r="X85" s="726">
        <f t="shared" ref="X85:AG85" si="23">W85</f>
        <v>48.418749999999996</v>
      </c>
      <c r="Y85" s="726">
        <f t="shared" si="23"/>
        <v>48.418749999999996</v>
      </c>
      <c r="Z85" s="726">
        <f t="shared" si="23"/>
        <v>48.418749999999996</v>
      </c>
      <c r="AA85" s="726">
        <f t="shared" si="23"/>
        <v>48.418749999999996</v>
      </c>
      <c r="AB85" s="726">
        <f t="shared" si="23"/>
        <v>48.418749999999996</v>
      </c>
      <c r="AC85" s="687">
        <f t="shared" si="23"/>
        <v>48.418749999999996</v>
      </c>
      <c r="AD85" s="726">
        <f t="shared" si="23"/>
        <v>48.418749999999996</v>
      </c>
      <c r="AE85" s="726">
        <f t="shared" si="23"/>
        <v>48.418749999999996</v>
      </c>
      <c r="AF85" s="726">
        <f t="shared" si="23"/>
        <v>48.418749999999996</v>
      </c>
      <c r="AG85" s="726">
        <f t="shared" si="23"/>
        <v>48.418749999999996</v>
      </c>
    </row>
    <row r="86" spans="2:33" x14ac:dyDescent="0.25">
      <c r="B86" s="547" t="s">
        <v>160</v>
      </c>
      <c r="C86" s="222" t="s">
        <v>479</v>
      </c>
      <c r="D86" s="257">
        <f>'Haver Pivoted'!GO66</f>
        <v>57.017000000000003</v>
      </c>
      <c r="E86" s="216">
        <f>'Haver Pivoted'!GP66</f>
        <v>55.847999999999999</v>
      </c>
      <c r="F86" s="216">
        <f>'Haver Pivoted'!GQ66</f>
        <v>54.531999999999996</v>
      </c>
      <c r="G86" s="216">
        <f>'Haver Pivoted'!GR66</f>
        <v>54.451999999999998</v>
      </c>
      <c r="H86" s="216">
        <f>'Haver Pivoted'!GS66</f>
        <v>54.012999999999998</v>
      </c>
      <c r="I86" s="216">
        <f>'Haver Pivoted'!GT66</f>
        <v>61.353000000000002</v>
      </c>
      <c r="J86" s="216">
        <f>'Haver Pivoted'!GU66</f>
        <v>106.1</v>
      </c>
      <c r="K86" s="216">
        <f>'Haver Pivoted'!GV66</f>
        <v>110.04900000000001</v>
      </c>
      <c r="L86" s="216">
        <f>'Haver Pivoted'!GW66</f>
        <v>117.309</v>
      </c>
      <c r="M86" s="216">
        <f>'Haver Pivoted'!GX66</f>
        <v>142.78899999999999</v>
      </c>
      <c r="N86" s="216">
        <f>'Haver Pivoted'!GY66</f>
        <v>157.602</v>
      </c>
      <c r="O86" s="216">
        <f>'Haver Pivoted'!GZ66</f>
        <v>149.11600000000001</v>
      </c>
      <c r="P86" s="216">
        <f>'Haver Pivoted'!HA66</f>
        <v>146.631</v>
      </c>
      <c r="Q86" s="216">
        <f>'Haver Pivoted'!HB66</f>
        <v>134.809</v>
      </c>
      <c r="R86" s="216">
        <f>'Haver Pivoted'!HC66</f>
        <v>123.735</v>
      </c>
      <c r="S86" s="196">
        <f>'Haver Pivoted'!HD66</f>
        <v>116.06100000000001</v>
      </c>
      <c r="T86" s="196">
        <f>'Haver Pivoted'!HE66</f>
        <v>136.14500000000001</v>
      </c>
      <c r="U86" s="196">
        <f>'Haver Pivoted'!HF66</f>
        <v>130.17699999999999</v>
      </c>
      <c r="V86" s="196">
        <f>'Haver Pivoted'!HG66</f>
        <v>103.13</v>
      </c>
      <c r="W86" s="312"/>
      <c r="X86" s="312"/>
      <c r="Y86" s="312"/>
      <c r="Z86" s="312"/>
      <c r="AA86" s="312"/>
      <c r="AB86" s="312"/>
      <c r="AC86" s="312"/>
      <c r="AD86" s="500"/>
      <c r="AE86" s="500"/>
      <c r="AF86" s="500"/>
      <c r="AG86" s="500"/>
    </row>
    <row r="87" spans="2:33" ht="29.1" customHeight="1" x14ac:dyDescent="0.25">
      <c r="B87" s="344" t="s">
        <v>480</v>
      </c>
      <c r="C87" s="345"/>
      <c r="D87" s="721"/>
      <c r="E87" s="562"/>
      <c r="F87" s="562"/>
      <c r="G87" s="562"/>
      <c r="H87" s="562"/>
      <c r="I87" s="562"/>
      <c r="J87" s="562">
        <f t="shared" ref="J87:V87" si="24">J86-$H86</f>
        <v>52.086999999999996</v>
      </c>
      <c r="K87" s="562">
        <f t="shared" si="24"/>
        <v>56.036000000000008</v>
      </c>
      <c r="L87" s="562">
        <f t="shared" si="24"/>
        <v>63.295999999999999</v>
      </c>
      <c r="M87" s="562">
        <f t="shared" si="24"/>
        <v>88.775999999999982</v>
      </c>
      <c r="N87" s="562">
        <f>N86-$H86</f>
        <v>103.589</v>
      </c>
      <c r="O87" s="562">
        <f>O86-$H86</f>
        <v>95.103000000000009</v>
      </c>
      <c r="P87" s="562">
        <f t="shared" si="24"/>
        <v>92.617999999999995</v>
      </c>
      <c r="Q87" s="562">
        <f t="shared" si="24"/>
        <v>80.795999999999992</v>
      </c>
      <c r="R87" s="562">
        <f t="shared" si="24"/>
        <v>69.722000000000008</v>
      </c>
      <c r="S87" s="268">
        <f t="shared" si="24"/>
        <v>62.048000000000009</v>
      </c>
      <c r="T87" s="268">
        <f t="shared" si="24"/>
        <v>82.132000000000005</v>
      </c>
      <c r="U87" s="268">
        <f t="shared" si="24"/>
        <v>76.163999999999987</v>
      </c>
      <c r="V87" s="268">
        <f t="shared" si="24"/>
        <v>49.116999999999997</v>
      </c>
      <c r="W87" s="252"/>
      <c r="X87" s="252"/>
      <c r="Y87" s="252"/>
      <c r="Z87" s="252"/>
      <c r="AA87" s="252"/>
      <c r="AB87" s="252"/>
      <c r="AC87" s="252"/>
      <c r="AD87" s="500"/>
      <c r="AE87" s="500"/>
      <c r="AF87" s="500"/>
      <c r="AG87" s="500"/>
    </row>
    <row r="88" spans="2:33" ht="29.1" customHeight="1" x14ac:dyDescent="0.25">
      <c r="B88" s="222"/>
      <c r="C88" s="222"/>
      <c r="D88" s="216"/>
      <c r="E88" s="216"/>
      <c r="F88" s="216"/>
      <c r="G88" s="216"/>
      <c r="H88" s="216"/>
      <c r="I88" s="216"/>
      <c r="J88" s="216"/>
      <c r="K88" s="216"/>
      <c r="L88" s="216"/>
      <c r="M88" s="216"/>
      <c r="N88" s="216"/>
      <c r="O88" s="216"/>
      <c r="P88" s="216"/>
      <c r="Q88" s="216"/>
      <c r="R88" s="216"/>
      <c r="S88" s="216"/>
      <c r="T88" s="216"/>
      <c r="U88" s="216"/>
      <c r="V88" s="216"/>
      <c r="W88" s="216"/>
      <c r="X88" s="216"/>
      <c r="Y88" s="216"/>
      <c r="Z88" s="216"/>
      <c r="AA88" s="216"/>
      <c r="AB88" s="216"/>
      <c r="AC88" s="216"/>
    </row>
    <row r="89" spans="2:33" ht="29.1" customHeight="1" x14ac:dyDescent="0.25">
      <c r="B89" s="222"/>
      <c r="C89" s="222"/>
      <c r="D89" s="216"/>
      <c r="E89" s="216"/>
      <c r="F89" s="216"/>
      <c r="G89" s="216"/>
      <c r="H89" s="216"/>
      <c r="I89" s="216"/>
      <c r="J89" s="216"/>
      <c r="K89" s="216"/>
      <c r="L89" s="216"/>
      <c r="M89" s="216"/>
      <c r="N89" s="216"/>
      <c r="O89" s="216"/>
      <c r="P89" s="216"/>
      <c r="Q89" s="216"/>
      <c r="R89" s="216"/>
      <c r="S89" s="216"/>
      <c r="T89" s="216"/>
      <c r="U89" s="216"/>
      <c r="V89" s="216"/>
      <c r="W89" s="216"/>
      <c r="X89" s="216"/>
      <c r="Y89" s="216"/>
      <c r="Z89" s="216"/>
      <c r="AA89" s="216"/>
      <c r="AB89" s="216"/>
      <c r="AC89" s="216"/>
    </row>
    <row r="90" spans="2:33" ht="29.1" customHeight="1" x14ac:dyDescent="0.25">
      <c r="B90" s="222"/>
      <c r="C90" s="222"/>
      <c r="D90" s="216"/>
      <c r="E90" s="216"/>
      <c r="F90" s="216"/>
      <c r="G90" s="216"/>
      <c r="H90" s="216"/>
      <c r="I90" s="216"/>
      <c r="J90" s="216"/>
      <c r="K90" s="216"/>
      <c r="L90" s="216"/>
      <c r="M90" s="216"/>
      <c r="N90" s="216"/>
      <c r="O90" s="216"/>
      <c r="P90" s="216"/>
      <c r="Q90" s="216"/>
      <c r="R90" s="216"/>
      <c r="S90" s="216"/>
      <c r="T90" s="216"/>
      <c r="U90" s="216"/>
      <c r="V90" s="216"/>
      <c r="W90" s="216"/>
      <c r="X90" s="216"/>
      <c r="Y90" s="216"/>
      <c r="Z90" s="216"/>
      <c r="AA90" s="216"/>
      <c r="AB90" s="216"/>
      <c r="AC90" s="216"/>
    </row>
    <row r="91" spans="2:33" ht="35.85" customHeight="1" x14ac:dyDescent="0.25"/>
    <row r="92" spans="2:33" x14ac:dyDescent="0.25">
      <c r="B92" s="509" t="s">
        <v>365</v>
      </c>
    </row>
    <row r="93" spans="2:33" x14ac:dyDescent="0.25">
      <c r="B93" s="1456" t="s">
        <v>807</v>
      </c>
      <c r="C93" s="1457"/>
      <c r="D93" s="1366" t="s">
        <v>280</v>
      </c>
      <c r="E93" s="1379"/>
      <c r="F93" s="1379"/>
      <c r="G93" s="1379"/>
      <c r="H93" s="1379"/>
      <c r="I93" s="1379"/>
      <c r="J93" s="1379"/>
      <c r="K93" s="1379"/>
      <c r="L93" s="1379"/>
      <c r="M93" s="1379"/>
      <c r="N93" s="1379"/>
      <c r="O93" s="1379"/>
      <c r="P93" s="1379"/>
      <c r="Q93" s="1379"/>
      <c r="R93" s="1379"/>
      <c r="S93" s="1379"/>
      <c r="T93" s="1379"/>
      <c r="U93" s="1379"/>
      <c r="V93" s="1367"/>
      <c r="W93" s="1390" t="s">
        <v>281</v>
      </c>
      <c r="X93" s="1391"/>
      <c r="Y93" s="1391"/>
      <c r="Z93" s="1391"/>
      <c r="AA93" s="1391"/>
      <c r="AB93" s="1391"/>
      <c r="AC93" s="1391"/>
      <c r="AD93" s="1391"/>
      <c r="AE93" s="1391"/>
      <c r="AF93" s="1391"/>
      <c r="AG93" s="1391"/>
    </row>
    <row r="94" spans="2:33" x14ac:dyDescent="0.25">
      <c r="B94" s="1458"/>
      <c r="C94" s="1459"/>
      <c r="D94" s="200">
        <v>2018</v>
      </c>
      <c r="E94" s="1371">
        <v>2019</v>
      </c>
      <c r="F94" s="1372"/>
      <c r="G94" s="1372"/>
      <c r="H94" s="1373"/>
      <c r="I94" s="1371">
        <v>2020</v>
      </c>
      <c r="J94" s="1372"/>
      <c r="K94" s="1372"/>
      <c r="L94" s="1372"/>
      <c r="M94" s="1371">
        <v>2021</v>
      </c>
      <c r="N94" s="1372"/>
      <c r="O94" s="1372"/>
      <c r="P94" s="1372"/>
      <c r="Q94" s="1371">
        <v>2022</v>
      </c>
      <c r="R94" s="1403"/>
      <c r="S94" s="1403"/>
      <c r="T94" s="1373"/>
      <c r="U94" s="270"/>
      <c r="V94" s="556">
        <v>2023</v>
      </c>
      <c r="W94" s="552"/>
      <c r="X94" s="242"/>
      <c r="Y94" s="1368">
        <v>2024</v>
      </c>
      <c r="Z94" s="1381"/>
      <c r="AA94" s="1381"/>
      <c r="AB94" s="1370"/>
      <c r="AC94" s="1368">
        <v>2025</v>
      </c>
      <c r="AD94" s="1381"/>
      <c r="AE94" s="1381"/>
      <c r="AF94" s="1370"/>
      <c r="AG94" s="498">
        <v>2026</v>
      </c>
    </row>
    <row r="95" spans="2:33" x14ac:dyDescent="0.25">
      <c r="B95" s="1458"/>
      <c r="C95" s="1459"/>
      <c r="D95" s="195" t="s">
        <v>282</v>
      </c>
      <c r="E95" s="195" t="s">
        <v>283</v>
      </c>
      <c r="F95" s="196" t="s">
        <v>284</v>
      </c>
      <c r="G95" s="196" t="s">
        <v>238</v>
      </c>
      <c r="H95" s="197" t="s">
        <v>282</v>
      </c>
      <c r="I95" s="196" t="s">
        <v>283</v>
      </c>
      <c r="J95" s="196" t="s">
        <v>284</v>
      </c>
      <c r="K95" s="196" t="s">
        <v>238</v>
      </c>
      <c r="L95" s="196" t="s">
        <v>282</v>
      </c>
      <c r="M95" s="195" t="s">
        <v>283</v>
      </c>
      <c r="N95" s="196" t="s">
        <v>284</v>
      </c>
      <c r="O95" s="196" t="s">
        <v>238</v>
      </c>
      <c r="P95" s="196" t="s">
        <v>282</v>
      </c>
      <c r="Q95" s="195" t="s">
        <v>283</v>
      </c>
      <c r="R95" s="196" t="s">
        <v>284</v>
      </c>
      <c r="S95" s="196" t="s">
        <v>238</v>
      </c>
      <c r="T95" s="197" t="s">
        <v>282</v>
      </c>
      <c r="U95" s="196" t="s">
        <v>283</v>
      </c>
      <c r="V95" s="268" t="s">
        <v>284</v>
      </c>
      <c r="W95" s="252" t="s">
        <v>238</v>
      </c>
      <c r="X95" s="253" t="s">
        <v>282</v>
      </c>
      <c r="Y95" s="251" t="s">
        <v>283</v>
      </c>
      <c r="Z95" s="249" t="s">
        <v>284</v>
      </c>
      <c r="AA95" s="252" t="s">
        <v>238</v>
      </c>
      <c r="AB95" s="252" t="s">
        <v>282</v>
      </c>
      <c r="AC95" s="251" t="s">
        <v>283</v>
      </c>
      <c r="AD95" s="249" t="s">
        <v>284</v>
      </c>
      <c r="AE95" s="252" t="s">
        <v>238</v>
      </c>
      <c r="AF95" s="252" t="s">
        <v>282</v>
      </c>
      <c r="AG95" s="251" t="s">
        <v>283</v>
      </c>
    </row>
    <row r="96" spans="2:33" ht="25.7" customHeight="1" x14ac:dyDescent="0.25">
      <c r="B96" s="674" t="s">
        <v>467</v>
      </c>
      <c r="C96" s="432" t="s">
        <v>468</v>
      </c>
      <c r="D96" s="353">
        <f>'Haver Pivoted'!GO31</f>
        <v>2223</v>
      </c>
      <c r="E96" s="354">
        <f>'Haver Pivoted'!GP31</f>
        <v>2303.6</v>
      </c>
      <c r="F96" s="354">
        <f>'Haver Pivoted'!GQ31</f>
        <v>2320.1</v>
      </c>
      <c r="G96" s="354">
        <f>'Haver Pivoted'!GR31</f>
        <v>2332.9</v>
      </c>
      <c r="H96" s="354">
        <f>'Haver Pivoted'!GS31</f>
        <v>2346.6</v>
      </c>
      <c r="I96" s="354">
        <f>'Haver Pivoted'!GT31</f>
        <v>2412.6</v>
      </c>
      <c r="J96" s="354">
        <f>'Haver Pivoted'!GU31</f>
        <v>4652.1000000000004</v>
      </c>
      <c r="K96" s="354">
        <f>'Haver Pivoted'!GV31</f>
        <v>3508</v>
      </c>
      <c r="L96" s="354">
        <f>'Haver Pivoted'!GW31</f>
        <v>2895.4</v>
      </c>
      <c r="M96" s="354">
        <f>'Haver Pivoted'!GX31</f>
        <v>5127.3999999999996</v>
      </c>
      <c r="N96" s="354">
        <f>'Haver Pivoted'!GY31</f>
        <v>3403.8</v>
      </c>
      <c r="O96" s="354">
        <f>'Haver Pivoted'!GZ31</f>
        <v>3135</v>
      </c>
      <c r="P96" s="354">
        <f>'Haver Pivoted'!HA31</f>
        <v>2947.7</v>
      </c>
      <c r="Q96" s="354">
        <f>'Haver Pivoted'!HB31</f>
        <v>2903.2</v>
      </c>
      <c r="R96" s="354">
        <f>'Haver Pivoted'!HC31</f>
        <v>2895.2</v>
      </c>
      <c r="S96" s="355">
        <f>'Haver Pivoted'!HD31</f>
        <v>2867.4</v>
      </c>
      <c r="T96" s="688">
        <f>'Haver Pivoted'!HE31</f>
        <v>2896.7</v>
      </c>
      <c r="U96" s="355">
        <f>'Haver Pivoted'!HF31</f>
        <v>2945.8</v>
      </c>
      <c r="V96" s="355">
        <f>'Haver Pivoted'!HG31</f>
        <v>2929.7</v>
      </c>
      <c r="W96" s="698"/>
      <c r="X96" s="698"/>
      <c r="Y96" s="698"/>
      <c r="Z96" s="698"/>
      <c r="AA96" s="698"/>
      <c r="AB96" s="698"/>
      <c r="AC96" s="740"/>
      <c r="AD96" s="740"/>
      <c r="AE96" s="740"/>
      <c r="AF96" s="740"/>
      <c r="AG96" s="500"/>
    </row>
    <row r="97" spans="2:33" ht="25.7" customHeight="1" x14ac:dyDescent="0.25">
      <c r="B97" s="473" t="s">
        <v>1861</v>
      </c>
      <c r="C97" s="222"/>
      <c r="D97" s="716">
        <f>D98+D99</f>
        <v>812.1</v>
      </c>
      <c r="E97" s="429">
        <f>E98+E99</f>
        <v>832.4</v>
      </c>
      <c r="F97" s="429">
        <f>F98+F99</f>
        <v>843</v>
      </c>
      <c r="G97" s="429">
        <f t="shared" ref="G97:N97" si="25">G98+G99</f>
        <v>848.9</v>
      </c>
      <c r="H97" s="429">
        <f t="shared" si="25"/>
        <v>854.6</v>
      </c>
      <c r="I97" s="429">
        <f t="shared" si="25"/>
        <v>875.94174999999996</v>
      </c>
      <c r="J97" s="429">
        <f t="shared" si="25"/>
        <v>3140.0887499999999</v>
      </c>
      <c r="K97" s="429">
        <f t="shared" si="25"/>
        <v>1866.1377500000001</v>
      </c>
      <c r="L97" s="429">
        <f t="shared" si="25"/>
        <v>1314.69775</v>
      </c>
      <c r="M97" s="429">
        <f t="shared" si="25"/>
        <v>3522.1777499999998</v>
      </c>
      <c r="N97" s="429">
        <f t="shared" si="25"/>
        <v>1820.5125900000003</v>
      </c>
      <c r="O97" s="429">
        <f>O98+O99</f>
        <v>1547.208243333333</v>
      </c>
      <c r="P97" s="429">
        <f t="shared" ref="P97:R97" si="26">P98+P99</f>
        <v>1369.7290833333329</v>
      </c>
      <c r="Q97" s="429">
        <f t="shared" si="26"/>
        <v>1218.1737499999999</v>
      </c>
      <c r="R97" s="429">
        <f t="shared" si="26"/>
        <v>1201.89975</v>
      </c>
      <c r="S97" s="683">
        <f>S98+S99</f>
        <v>1183.0257500000002</v>
      </c>
      <c r="T97" s="683">
        <f t="shared" ref="T97:U97" si="27">T98+T99</f>
        <v>1168.3497500000001</v>
      </c>
      <c r="U97" s="683">
        <f t="shared" si="27"/>
        <v>1082.9817499999999</v>
      </c>
      <c r="V97" s="683">
        <f>V98+V99</f>
        <v>1060.3633214285715</v>
      </c>
      <c r="W97" s="428"/>
      <c r="X97" s="428"/>
      <c r="Y97" s="428"/>
      <c r="Z97" s="428"/>
      <c r="AA97" s="428"/>
      <c r="AB97" s="428"/>
      <c r="AC97" s="428"/>
      <c r="AD97" s="428"/>
      <c r="AE97" s="428"/>
      <c r="AF97" s="428"/>
      <c r="AG97" s="500"/>
    </row>
    <row r="98" spans="2:33" ht="25.7" customHeight="1" x14ac:dyDescent="0.25">
      <c r="B98" s="413" t="s">
        <v>1859</v>
      </c>
      <c r="C98" s="222"/>
      <c r="D98" s="716">
        <f t="shared" ref="D98:V98" si="28">D14+D17+D35</f>
        <v>812.1</v>
      </c>
      <c r="E98" s="716">
        <f t="shared" si="28"/>
        <v>832.4</v>
      </c>
      <c r="F98" s="429">
        <f t="shared" si="28"/>
        <v>843</v>
      </c>
      <c r="G98" s="429">
        <f t="shared" si="28"/>
        <v>848.9</v>
      </c>
      <c r="H98" s="429">
        <f t="shared" si="28"/>
        <v>854.6</v>
      </c>
      <c r="I98" s="429">
        <f t="shared" si="28"/>
        <v>869.3</v>
      </c>
      <c r="J98" s="429">
        <f t="shared" si="28"/>
        <v>1792.5</v>
      </c>
      <c r="K98" s="429">
        <f t="shared" si="28"/>
        <v>1655.6000000000001</v>
      </c>
      <c r="L98" s="429">
        <f t="shared" si="28"/>
        <v>1188.2</v>
      </c>
      <c r="M98" s="429">
        <f t="shared" si="28"/>
        <v>1467.3000000000002</v>
      </c>
      <c r="N98" s="429">
        <f t="shared" si="28"/>
        <v>1351.8000000000002</v>
      </c>
      <c r="O98" s="429">
        <f t="shared" si="28"/>
        <v>1328.333333333333</v>
      </c>
      <c r="P98" s="429">
        <f t="shared" si="28"/>
        <v>1157.333333333333</v>
      </c>
      <c r="Q98" s="429">
        <f t="shared" si="28"/>
        <v>1038.7</v>
      </c>
      <c r="R98" s="429">
        <f t="shared" si="28"/>
        <v>1040.4000000000001</v>
      </c>
      <c r="S98" s="683">
        <f t="shared" si="28"/>
        <v>1041.1000000000001</v>
      </c>
      <c r="T98" s="683">
        <f t="shared" si="28"/>
        <v>1050.6000000000001</v>
      </c>
      <c r="U98" s="683">
        <f t="shared" si="28"/>
        <v>994.1</v>
      </c>
      <c r="V98" s="683">
        <f t="shared" si="28"/>
        <v>998.52857142857135</v>
      </c>
      <c r="W98" s="428"/>
      <c r="X98" s="428"/>
      <c r="Y98" s="428"/>
      <c r="Z98" s="428"/>
      <c r="AA98" s="428"/>
      <c r="AB98" s="428"/>
      <c r="AC98" s="428"/>
      <c r="AD98" s="428"/>
      <c r="AE98" s="428"/>
      <c r="AF98" s="428"/>
      <c r="AG98" s="428"/>
    </row>
    <row r="99" spans="2:33" ht="36" customHeight="1" x14ac:dyDescent="0.25">
      <c r="B99" s="413" t="s">
        <v>1860</v>
      </c>
      <c r="C99" s="222"/>
      <c r="D99" s="429">
        <f t="shared" ref="D99:AG99" si="29">D18+D21+D32+D33+D34+D36</f>
        <v>0</v>
      </c>
      <c r="E99" s="429">
        <f t="shared" si="29"/>
        <v>0</v>
      </c>
      <c r="F99" s="429">
        <f t="shared" si="29"/>
        <v>0</v>
      </c>
      <c r="G99" s="429">
        <f t="shared" si="29"/>
        <v>0</v>
      </c>
      <c r="H99" s="429">
        <f t="shared" si="29"/>
        <v>0</v>
      </c>
      <c r="I99" s="429">
        <f t="shared" si="29"/>
        <v>6.6417500000000018</v>
      </c>
      <c r="J99" s="429">
        <f t="shared" si="29"/>
        <v>1347.5887500000001</v>
      </c>
      <c r="K99" s="429">
        <f t="shared" si="29"/>
        <v>210.53775000000002</v>
      </c>
      <c r="L99" s="429">
        <f t="shared" si="29"/>
        <v>126.49775</v>
      </c>
      <c r="M99" s="429">
        <f t="shared" si="29"/>
        <v>2054.8777499999997</v>
      </c>
      <c r="N99" s="429">
        <f t="shared" si="29"/>
        <v>468.71259000000009</v>
      </c>
      <c r="O99" s="429">
        <f t="shared" si="29"/>
        <v>218.87491000000009</v>
      </c>
      <c r="P99" s="429">
        <f t="shared" si="29"/>
        <v>212.39574999999999</v>
      </c>
      <c r="Q99" s="429">
        <f t="shared" si="29"/>
        <v>179.47375</v>
      </c>
      <c r="R99" s="429">
        <f t="shared" si="29"/>
        <v>161.49975000000001</v>
      </c>
      <c r="S99" s="683">
        <f t="shared" si="29"/>
        <v>141.92575000000002</v>
      </c>
      <c r="T99" s="683">
        <f t="shared" si="29"/>
        <v>117.74975000000001</v>
      </c>
      <c r="U99" s="683">
        <f t="shared" si="29"/>
        <v>88.881749999999982</v>
      </c>
      <c r="V99" s="683">
        <f t="shared" si="29"/>
        <v>61.83475</v>
      </c>
      <c r="W99" s="428">
        <f t="shared" si="29"/>
        <v>61.83475</v>
      </c>
      <c r="X99" s="428">
        <f t="shared" si="29"/>
        <v>54.119749999999996</v>
      </c>
      <c r="Y99" s="428">
        <f t="shared" si="29"/>
        <v>54.119749999999996</v>
      </c>
      <c r="Z99" s="428">
        <f t="shared" si="29"/>
        <v>54.119749999999996</v>
      </c>
      <c r="AA99" s="428">
        <f t="shared" si="29"/>
        <v>54.119749999999996</v>
      </c>
      <c r="AB99" s="428">
        <f t="shared" si="29"/>
        <v>52.420749999999998</v>
      </c>
      <c r="AC99" s="428">
        <f t="shared" si="29"/>
        <v>52.420749999999998</v>
      </c>
      <c r="AD99" s="428">
        <f t="shared" si="29"/>
        <v>0</v>
      </c>
      <c r="AE99" s="428">
        <f t="shared" si="29"/>
        <v>0</v>
      </c>
      <c r="AF99" s="428">
        <f t="shared" si="29"/>
        <v>0</v>
      </c>
      <c r="AG99" s="428">
        <f t="shared" si="29"/>
        <v>0</v>
      </c>
    </row>
    <row r="100" spans="2:33" ht="25.7" customHeight="1" x14ac:dyDescent="0.25">
      <c r="B100" s="473" t="s">
        <v>804</v>
      </c>
      <c r="C100" s="222"/>
      <c r="D100" s="716">
        <f>D96-D97</f>
        <v>1410.9</v>
      </c>
      <c r="E100" s="429">
        <f t="shared" ref="E100:T100" si="30">E96-E97</f>
        <v>1471.1999999999998</v>
      </c>
      <c r="F100" s="429">
        <f t="shared" si="30"/>
        <v>1477.1</v>
      </c>
      <c r="G100" s="429">
        <f t="shared" si="30"/>
        <v>1484</v>
      </c>
      <c r="H100" s="429">
        <f t="shared" si="30"/>
        <v>1492</v>
      </c>
      <c r="I100" s="429">
        <f t="shared" si="30"/>
        <v>1536.65825</v>
      </c>
      <c r="J100" s="429">
        <f t="shared" si="30"/>
        <v>1512.0112500000005</v>
      </c>
      <c r="K100" s="429">
        <f t="shared" si="30"/>
        <v>1641.8622499999999</v>
      </c>
      <c r="L100" s="429">
        <f t="shared" si="30"/>
        <v>1580.70225</v>
      </c>
      <c r="M100" s="429">
        <f t="shared" si="30"/>
        <v>1605.2222499999998</v>
      </c>
      <c r="N100" s="429">
        <f t="shared" si="30"/>
        <v>1583.2874099999999</v>
      </c>
      <c r="O100" s="429">
        <f t="shared" si="30"/>
        <v>1587.791756666667</v>
      </c>
      <c r="P100" s="429">
        <f t="shared" si="30"/>
        <v>1577.9709166666669</v>
      </c>
      <c r="Q100" s="429">
        <f t="shared" si="30"/>
        <v>1685.0262499999999</v>
      </c>
      <c r="R100" s="429">
        <f t="shared" si="30"/>
        <v>1693.3002499999998</v>
      </c>
      <c r="S100" s="683">
        <f t="shared" si="30"/>
        <v>1684.3742499999998</v>
      </c>
      <c r="T100" s="683">
        <f t="shared" si="30"/>
        <v>1728.3502499999997</v>
      </c>
      <c r="U100" s="683">
        <f>U96-U97</f>
        <v>1862.8182500000003</v>
      </c>
      <c r="V100" s="683">
        <f>V96-V97</f>
        <v>1869.3366785714284</v>
      </c>
      <c r="W100" s="428"/>
      <c r="X100" s="428"/>
      <c r="Y100" s="428"/>
      <c r="Z100" s="428"/>
      <c r="AA100" s="428"/>
      <c r="AB100" s="428"/>
      <c r="AC100" s="428"/>
      <c r="AD100" s="428"/>
      <c r="AE100" s="428"/>
      <c r="AF100" s="428"/>
      <c r="AG100" s="500"/>
    </row>
    <row r="101" spans="2:33" ht="20.45" customHeight="1" x14ac:dyDescent="0.25">
      <c r="B101" s="699" t="s">
        <v>805</v>
      </c>
      <c r="C101" s="700"/>
      <c r="D101" s="706">
        <f t="shared" ref="D101:I101" si="31">D12-D14-D17-D35</f>
        <v>1410.9</v>
      </c>
      <c r="E101" s="666">
        <f t="shared" si="31"/>
        <v>1471.1999999999998</v>
      </c>
      <c r="F101" s="666">
        <f t="shared" si="31"/>
        <v>1477.1000000000001</v>
      </c>
      <c r="G101" s="666">
        <f t="shared" si="31"/>
        <v>1484</v>
      </c>
      <c r="H101" s="666">
        <f t="shared" si="31"/>
        <v>1492</v>
      </c>
      <c r="I101" s="666">
        <f t="shared" si="31"/>
        <v>1543.2999999999997</v>
      </c>
      <c r="J101" s="707">
        <f>I101+($H$101-$E$101)/3</f>
        <v>1550.2333333333331</v>
      </c>
      <c r="K101" s="707">
        <f>J101+($H$101-$E$101)/3</f>
        <v>1557.1666666666665</v>
      </c>
      <c r="L101" s="707">
        <f>K101+($H$101-$E$101)/3</f>
        <v>1564.1</v>
      </c>
      <c r="M101" s="708">
        <f>L101+($H$101-$E$101)/3 +(M105-L105)</f>
        <v>1588.5533333333333</v>
      </c>
      <c r="N101" s="707">
        <f>M101+($H$101-$E$101)/3</f>
        <v>1595.4866666666667</v>
      </c>
      <c r="O101" s="707">
        <f>N101+($H$101-$E$101)/3</f>
        <v>1602.42</v>
      </c>
      <c r="P101" s="707">
        <f>O101+($H$101-$E$101)/3</f>
        <v>1609.3533333333335</v>
      </c>
      <c r="Q101" s="708">
        <f>P101+($H$101-$E$101)/3 + 0.06*Q105</f>
        <v>1688.207466666667</v>
      </c>
      <c r="R101" s="707">
        <f>Q101+($H$101-$E$101)/3</f>
        <v>1695.1408000000004</v>
      </c>
      <c r="S101" s="707">
        <f>R101+($H$101-$E$101)/3</f>
        <v>1702.0741333333337</v>
      </c>
      <c r="T101" s="707">
        <f>S101+($H$101-$E$101)/3</f>
        <v>1709.0074666666671</v>
      </c>
      <c r="U101" s="707">
        <f>T101+U102</f>
        <v>1822.5884450000005</v>
      </c>
      <c r="V101" s="707">
        <f>U101+V102</f>
        <v>1829.5217783333339</v>
      </c>
      <c r="W101" s="701">
        <f t="shared" ref="W101:AF101" si="32">V101+W102</f>
        <v>1836.4551116666673</v>
      </c>
      <c r="X101" s="701">
        <f t="shared" si="32"/>
        <v>1843.3884450000007</v>
      </c>
      <c r="Y101" s="701">
        <f t="shared" si="32"/>
        <v>1892.9800005333341</v>
      </c>
      <c r="Z101" s="701">
        <f t="shared" si="32"/>
        <v>1899.9133338666675</v>
      </c>
      <c r="AA101" s="701">
        <f t="shared" si="32"/>
        <v>1906.8466672000009</v>
      </c>
      <c r="AB101" s="701">
        <f t="shared" si="32"/>
        <v>1913.7800005333343</v>
      </c>
      <c r="AC101" s="701">
        <f t="shared" si="32"/>
        <v>1950.3705249626676</v>
      </c>
      <c r="AD101" s="701">
        <f t="shared" si="32"/>
        <v>1957.303858296001</v>
      </c>
      <c r="AE101" s="701">
        <f t="shared" si="32"/>
        <v>1964.2371916293343</v>
      </c>
      <c r="AF101" s="701">
        <f t="shared" si="32"/>
        <v>1971.1705249626677</v>
      </c>
      <c r="AG101" s="500"/>
    </row>
    <row r="102" spans="2:33" ht="20.45" customHeight="1" x14ac:dyDescent="0.25">
      <c r="B102" s="702" t="s">
        <v>1816</v>
      </c>
      <c r="C102" s="222"/>
      <c r="D102" s="716"/>
      <c r="E102" s="429"/>
      <c r="F102" s="429"/>
      <c r="G102" s="429"/>
      <c r="H102" s="429"/>
      <c r="I102" s="429"/>
      <c r="J102" s="684"/>
      <c r="K102" s="684"/>
      <c r="L102" s="684"/>
      <c r="M102" s="709"/>
      <c r="N102" s="684"/>
      <c r="O102" s="684"/>
      <c r="P102" s="684"/>
      <c r="Q102" s="709"/>
      <c r="R102" s="684"/>
      <c r="S102" s="684"/>
      <c r="T102" s="684"/>
      <c r="U102" s="684">
        <f>U103+U104</f>
        <v>113.58097833333339</v>
      </c>
      <c r="V102" s="684">
        <f>V103+V104</f>
        <v>6.933333333333394</v>
      </c>
      <c r="W102" s="428">
        <f t="shared" ref="W102:AF102" si="33">W103+W108*W105</f>
        <v>6.933333333333394</v>
      </c>
      <c r="X102" s="428">
        <f t="shared" si="33"/>
        <v>6.933333333333394</v>
      </c>
      <c r="Y102" s="428">
        <f t="shared" si="33"/>
        <v>49.591555533333391</v>
      </c>
      <c r="Z102" s="428">
        <f t="shared" si="33"/>
        <v>6.933333333333394</v>
      </c>
      <c r="AA102" s="428">
        <f t="shared" si="33"/>
        <v>6.933333333333394</v>
      </c>
      <c r="AB102" s="428">
        <f t="shared" si="33"/>
        <v>6.933333333333394</v>
      </c>
      <c r="AC102" s="428">
        <f t="shared" si="33"/>
        <v>36.590524429333399</v>
      </c>
      <c r="AD102" s="428">
        <f t="shared" si="33"/>
        <v>6.933333333333394</v>
      </c>
      <c r="AE102" s="428">
        <f t="shared" si="33"/>
        <v>6.933333333333394</v>
      </c>
      <c r="AF102" s="428">
        <f t="shared" si="33"/>
        <v>6.933333333333394</v>
      </c>
      <c r="AG102" s="500"/>
    </row>
    <row r="103" spans="2:33" ht="28.35" customHeight="1" x14ac:dyDescent="0.25">
      <c r="B103" s="703" t="s">
        <v>1813</v>
      </c>
      <c r="C103" s="222"/>
      <c r="D103" s="716"/>
      <c r="E103" s="429"/>
      <c r="F103" s="429"/>
      <c r="G103" s="429"/>
      <c r="H103" s="429"/>
      <c r="I103" s="429"/>
      <c r="J103" s="684"/>
      <c r="K103" s="684"/>
      <c r="L103" s="684"/>
      <c r="M103" s="709"/>
      <c r="N103" s="684"/>
      <c r="O103" s="684"/>
      <c r="P103" s="684"/>
      <c r="Q103" s="709"/>
      <c r="R103" s="684"/>
      <c r="S103" s="684"/>
      <c r="T103" s="684"/>
      <c r="U103" s="684">
        <f>($H$101-$E$101)/3</f>
        <v>6.933333333333394</v>
      </c>
      <c r="V103" s="684">
        <f>($H$101-$E$101)/3</f>
        <v>6.933333333333394</v>
      </c>
      <c r="W103" s="428">
        <f t="shared" ref="W103:AF103" si="34">V103</f>
        <v>6.933333333333394</v>
      </c>
      <c r="X103" s="428">
        <f t="shared" si="34"/>
        <v>6.933333333333394</v>
      </c>
      <c r="Y103" s="428">
        <f t="shared" si="34"/>
        <v>6.933333333333394</v>
      </c>
      <c r="Z103" s="428">
        <f t="shared" si="34"/>
        <v>6.933333333333394</v>
      </c>
      <c r="AA103" s="428">
        <f t="shared" si="34"/>
        <v>6.933333333333394</v>
      </c>
      <c r="AB103" s="428">
        <f t="shared" si="34"/>
        <v>6.933333333333394</v>
      </c>
      <c r="AC103" s="428">
        <f t="shared" si="34"/>
        <v>6.933333333333394</v>
      </c>
      <c r="AD103" s="428">
        <f t="shared" si="34"/>
        <v>6.933333333333394</v>
      </c>
      <c r="AE103" s="428">
        <f t="shared" si="34"/>
        <v>6.933333333333394</v>
      </c>
      <c r="AF103" s="428">
        <f t="shared" si="34"/>
        <v>6.933333333333394</v>
      </c>
      <c r="AG103" s="500"/>
    </row>
    <row r="104" spans="2:33" ht="30.6" customHeight="1" x14ac:dyDescent="0.25">
      <c r="B104" s="704" t="s">
        <v>1814</v>
      </c>
      <c r="C104" s="705"/>
      <c r="D104" s="710"/>
      <c r="E104" s="667"/>
      <c r="F104" s="667"/>
      <c r="G104" s="667"/>
      <c r="H104" s="667"/>
      <c r="I104" s="667"/>
      <c r="J104" s="711"/>
      <c r="K104" s="711"/>
      <c r="L104" s="711"/>
      <c r="M104" s="712"/>
      <c r="N104" s="711"/>
      <c r="O104" s="711"/>
      <c r="P104" s="711"/>
      <c r="Q104" s="712"/>
      <c r="R104" s="711"/>
      <c r="S104" s="711"/>
      <c r="T104" s="711"/>
      <c r="U104" s="711">
        <f>U108*T105</f>
        <v>106.647645</v>
      </c>
      <c r="V104" s="711">
        <f>V108*U105</f>
        <v>0</v>
      </c>
      <c r="W104" s="713">
        <f t="shared" ref="W104:AF104" si="35">W108*V105</f>
        <v>0</v>
      </c>
      <c r="X104" s="713">
        <f t="shared" si="35"/>
        <v>0</v>
      </c>
      <c r="Y104" s="713">
        <f>Y108*X105</f>
        <v>41.182740000000003</v>
      </c>
      <c r="Z104" s="713">
        <f t="shared" si="35"/>
        <v>0</v>
      </c>
      <c r="AA104" s="713">
        <f t="shared" si="35"/>
        <v>0</v>
      </c>
      <c r="AB104" s="713">
        <f t="shared" si="35"/>
        <v>0</v>
      </c>
      <c r="AC104" s="713">
        <f t="shared" si="35"/>
        <v>28.9188148</v>
      </c>
      <c r="AD104" s="713">
        <f t="shared" si="35"/>
        <v>0</v>
      </c>
      <c r="AE104" s="713">
        <f t="shared" si="35"/>
        <v>0</v>
      </c>
      <c r="AF104" s="713">
        <f t="shared" si="35"/>
        <v>0</v>
      </c>
      <c r="AG104" s="500"/>
    </row>
    <row r="105" spans="2:33" ht="17.45" customHeight="1" x14ac:dyDescent="0.25">
      <c r="B105" s="547" t="s">
        <v>475</v>
      </c>
      <c r="C105" s="222" t="s">
        <v>476</v>
      </c>
      <c r="D105" s="716">
        <f>'Haver Pivoted'!GO88/1000</f>
        <v>983.86099999999999</v>
      </c>
      <c r="E105" s="429">
        <f>'Haver Pivoted'!GP88/1000</f>
        <v>1019.17</v>
      </c>
      <c r="F105" s="429">
        <f>'Haver Pivoted'!GQ88/1000</f>
        <v>1026.74</v>
      </c>
      <c r="G105" s="429">
        <f>'Haver Pivoted'!GR88/1000</f>
        <v>1034.364</v>
      </c>
      <c r="H105" s="429">
        <f>'Haver Pivoted'!GS88/1000</f>
        <v>1042.6969999999999</v>
      </c>
      <c r="I105" s="429">
        <f>'Haver Pivoted'!GT88/1000</f>
        <v>1068.172</v>
      </c>
      <c r="J105" s="429">
        <f>'Haver Pivoted'!GU88/1000</f>
        <v>1075.0809999999999</v>
      </c>
      <c r="K105" s="429">
        <f>'Haver Pivoted'!GV88/1000</f>
        <v>1080.296</v>
      </c>
      <c r="L105" s="429">
        <f>'Haver Pivoted'!GW88/1000</f>
        <v>1088.164</v>
      </c>
      <c r="M105" s="429">
        <f>'Haver Pivoted'!GX88/1000</f>
        <v>1105.684</v>
      </c>
      <c r="N105" s="429">
        <f>'Haver Pivoted'!GY88/1000</f>
        <v>1109.6220000000001</v>
      </c>
      <c r="O105" s="429">
        <f>'Haver Pivoted'!GZ88/1000</f>
        <v>1116.8399999999999</v>
      </c>
      <c r="P105" s="429">
        <f>'Haver Pivoted'!HA88/1000</f>
        <v>1126.2539999999999</v>
      </c>
      <c r="Q105" s="429">
        <f>'Haver Pivoted'!HB88/1000</f>
        <v>1198.68</v>
      </c>
      <c r="R105" s="429">
        <f>'Haver Pivoted'!HC88/1000</f>
        <v>1207.049</v>
      </c>
      <c r="S105" s="683">
        <f>'Haver Pivoted'!HD88/1000</f>
        <v>1214.451</v>
      </c>
      <c r="T105" s="683">
        <f>'Haver Pivoted'!HE88/1000</f>
        <v>1225.835</v>
      </c>
      <c r="U105" s="683">
        <f>'Haver Pivoted'!HF88/1000</f>
        <v>1339.9770000000001</v>
      </c>
      <c r="V105" s="683">
        <f>'Haver Pivoted'!HG88/1000</f>
        <v>1353.758</v>
      </c>
      <c r="W105" s="428">
        <f t="shared" ref="W105:AF105" si="36">V105+W106</f>
        <v>1364.758</v>
      </c>
      <c r="X105" s="428">
        <f t="shared" si="36"/>
        <v>1372.758</v>
      </c>
      <c r="Y105" s="428">
        <f t="shared" si="36"/>
        <v>1421.94074</v>
      </c>
      <c r="Z105" s="428">
        <f t="shared" si="36"/>
        <v>1429.94074</v>
      </c>
      <c r="AA105" s="428">
        <f t="shared" si="36"/>
        <v>1437.94074</v>
      </c>
      <c r="AB105" s="428">
        <f t="shared" si="36"/>
        <v>1445.94074</v>
      </c>
      <c r="AC105" s="428">
        <f t="shared" si="36"/>
        <v>1482.8595548000001</v>
      </c>
      <c r="AD105" s="428">
        <f t="shared" si="36"/>
        <v>1491.8595548000001</v>
      </c>
      <c r="AE105" s="428">
        <f t="shared" si="36"/>
        <v>1501.8595548000001</v>
      </c>
      <c r="AF105" s="428">
        <f t="shared" si="36"/>
        <v>1512.8595548000001</v>
      </c>
      <c r="AG105" s="500"/>
    </row>
    <row r="106" spans="2:33" ht="17.45" customHeight="1" x14ac:dyDescent="0.25">
      <c r="B106" s="413" t="s">
        <v>1815</v>
      </c>
      <c r="C106" s="222"/>
      <c r="D106" s="716"/>
      <c r="E106" s="429"/>
      <c r="F106" s="429"/>
      <c r="G106" s="429"/>
      <c r="H106" s="429"/>
      <c r="I106" s="429"/>
      <c r="J106" s="429"/>
      <c r="K106" s="429"/>
      <c r="L106" s="429"/>
      <c r="M106" s="429"/>
      <c r="N106" s="429"/>
      <c r="O106" s="429"/>
      <c r="P106" s="429"/>
      <c r="Q106" s="429"/>
      <c r="R106" s="429"/>
      <c r="S106" s="683"/>
      <c r="T106" s="683"/>
      <c r="U106" s="683">
        <f>U104+U107</f>
        <v>114.647645</v>
      </c>
      <c r="V106" s="683">
        <f>V104+V107</f>
        <v>8</v>
      </c>
      <c r="W106" s="428">
        <f t="shared" ref="W106:AF106" si="37">W104+W107</f>
        <v>11</v>
      </c>
      <c r="X106" s="428">
        <f t="shared" si="37"/>
        <v>8</v>
      </c>
      <c r="Y106" s="428">
        <f>Y104+Y107</f>
        <v>49.182740000000003</v>
      </c>
      <c r="Z106" s="428">
        <f t="shared" si="37"/>
        <v>8</v>
      </c>
      <c r="AA106" s="428">
        <f t="shared" si="37"/>
        <v>8</v>
      </c>
      <c r="AB106" s="428">
        <f t="shared" si="37"/>
        <v>8</v>
      </c>
      <c r="AC106" s="428">
        <f t="shared" si="37"/>
        <v>36.9188148</v>
      </c>
      <c r="AD106" s="428">
        <f t="shared" si="37"/>
        <v>9</v>
      </c>
      <c r="AE106" s="428">
        <f t="shared" si="37"/>
        <v>10</v>
      </c>
      <c r="AF106" s="428">
        <f t="shared" si="37"/>
        <v>11</v>
      </c>
      <c r="AG106" s="500"/>
    </row>
    <row r="107" spans="2:33" ht="17.45" customHeight="1" x14ac:dyDescent="0.25">
      <c r="B107" s="404" t="s">
        <v>1818</v>
      </c>
      <c r="C107" s="222"/>
      <c r="D107" s="716"/>
      <c r="E107" s="429"/>
      <c r="F107" s="429"/>
      <c r="G107" s="429"/>
      <c r="H107" s="429"/>
      <c r="I107" s="429"/>
      <c r="J107" s="429"/>
      <c r="K107" s="429"/>
      <c r="L107" s="429"/>
      <c r="M107" s="429"/>
      <c r="N107" s="429"/>
      <c r="O107" s="429"/>
      <c r="P107" s="429"/>
      <c r="Q107" s="429"/>
      <c r="R107" s="429"/>
      <c r="S107" s="683"/>
      <c r="T107" s="683"/>
      <c r="U107" s="683">
        <v>8</v>
      </c>
      <c r="V107" s="683">
        <v>8</v>
      </c>
      <c r="W107" s="428">
        <v>11</v>
      </c>
      <c r="X107" s="428">
        <v>8</v>
      </c>
      <c r="Y107" s="428">
        <v>8</v>
      </c>
      <c r="Z107" s="428">
        <v>8</v>
      </c>
      <c r="AA107" s="428">
        <v>8</v>
      </c>
      <c r="AB107" s="428">
        <v>8</v>
      </c>
      <c r="AC107" s="428">
        <v>8</v>
      </c>
      <c r="AD107" s="428">
        <v>9</v>
      </c>
      <c r="AE107" s="428">
        <v>10</v>
      </c>
      <c r="AF107" s="428">
        <v>11</v>
      </c>
      <c r="AG107" s="500"/>
    </row>
    <row r="108" spans="2:33" ht="39" customHeight="1" x14ac:dyDescent="0.25">
      <c r="B108" s="404" t="s">
        <v>1819</v>
      </c>
      <c r="C108" s="222"/>
      <c r="D108" s="716"/>
      <c r="E108" s="429"/>
      <c r="F108" s="429"/>
      <c r="G108" s="429"/>
      <c r="H108" s="429"/>
      <c r="I108" s="667"/>
      <c r="J108" s="667"/>
      <c r="K108" s="667"/>
      <c r="L108" s="667"/>
      <c r="M108" s="667"/>
      <c r="N108" s="667"/>
      <c r="O108" s="667"/>
      <c r="P108" s="667"/>
      <c r="Q108" s="667"/>
      <c r="R108" s="667"/>
      <c r="S108" s="714"/>
      <c r="T108" s="714"/>
      <c r="U108" s="685">
        <v>8.6999999999999994E-2</v>
      </c>
      <c r="V108" s="668">
        <v>0</v>
      </c>
      <c r="W108" s="715">
        <v>0</v>
      </c>
      <c r="X108" s="715">
        <v>0</v>
      </c>
      <c r="Y108" s="715">
        <v>0.03</v>
      </c>
      <c r="Z108" s="715">
        <v>0</v>
      </c>
      <c r="AA108" s="715">
        <v>0</v>
      </c>
      <c r="AB108" s="715">
        <v>0</v>
      </c>
      <c r="AC108" s="715">
        <v>0.02</v>
      </c>
      <c r="AD108" s="715">
        <v>0</v>
      </c>
      <c r="AE108" s="715">
        <v>0</v>
      </c>
      <c r="AF108" s="715">
        <v>0</v>
      </c>
      <c r="AG108" s="500"/>
    </row>
    <row r="109" spans="2:33" ht="49.7" customHeight="1" x14ac:dyDescent="0.25">
      <c r="B109" s="473" t="s">
        <v>1437</v>
      </c>
      <c r="C109" s="222"/>
      <c r="D109" s="716">
        <f t="shared" ref="D109:T109" si="38">D100-D101</f>
        <v>0</v>
      </c>
      <c r="E109" s="429">
        <f t="shared" si="38"/>
        <v>0</v>
      </c>
      <c r="F109" s="429">
        <f t="shared" si="38"/>
        <v>0</v>
      </c>
      <c r="G109" s="429">
        <f t="shared" si="38"/>
        <v>0</v>
      </c>
      <c r="H109" s="429">
        <f t="shared" si="38"/>
        <v>0</v>
      </c>
      <c r="I109" s="429">
        <f t="shared" si="38"/>
        <v>-6.6417499999997744</v>
      </c>
      <c r="J109" s="429">
        <f t="shared" si="38"/>
        <v>-38.222083333332648</v>
      </c>
      <c r="K109" s="429">
        <f t="shared" si="38"/>
        <v>84.695583333333389</v>
      </c>
      <c r="L109" s="429">
        <f t="shared" si="38"/>
        <v>16.60225000000014</v>
      </c>
      <c r="M109" s="429">
        <f t="shared" si="38"/>
        <v>16.668916666666519</v>
      </c>
      <c r="N109" s="429">
        <f t="shared" si="38"/>
        <v>-12.19925666666677</v>
      </c>
      <c r="O109" s="429">
        <f t="shared" si="38"/>
        <v>-14.628243333333103</v>
      </c>
      <c r="P109" s="429">
        <f t="shared" si="38"/>
        <v>-31.382416666666586</v>
      </c>
      <c r="Q109" s="429">
        <f t="shared" si="38"/>
        <v>-3.1812166666670691</v>
      </c>
      <c r="R109" s="429">
        <f t="shared" si="38"/>
        <v>-1.8405500000005759</v>
      </c>
      <c r="S109" s="683">
        <f t="shared" si="38"/>
        <v>-17.699883333333901</v>
      </c>
      <c r="T109" s="683">
        <f t="shared" si="38"/>
        <v>19.342783333332591</v>
      </c>
      <c r="U109" s="683">
        <f>U100-U101</f>
        <v>40.229804999999715</v>
      </c>
      <c r="V109" s="683">
        <f>V100-V101</f>
        <v>39.814900238094424</v>
      </c>
      <c r="W109" s="428">
        <f t="shared" ref="W109:AF109" si="39">V109</f>
        <v>39.814900238094424</v>
      </c>
      <c r="X109" s="428">
        <f t="shared" si="39"/>
        <v>39.814900238094424</v>
      </c>
      <c r="Y109" s="428">
        <f t="shared" si="39"/>
        <v>39.814900238094424</v>
      </c>
      <c r="Z109" s="428">
        <f t="shared" si="39"/>
        <v>39.814900238094424</v>
      </c>
      <c r="AA109" s="428">
        <f t="shared" si="39"/>
        <v>39.814900238094424</v>
      </c>
      <c r="AB109" s="428">
        <f t="shared" si="39"/>
        <v>39.814900238094424</v>
      </c>
      <c r="AC109" s="428">
        <f t="shared" si="39"/>
        <v>39.814900238094424</v>
      </c>
      <c r="AD109" s="428">
        <f t="shared" si="39"/>
        <v>39.814900238094424</v>
      </c>
      <c r="AE109" s="428">
        <f t="shared" si="39"/>
        <v>39.814900238094424</v>
      </c>
      <c r="AF109" s="428">
        <f t="shared" si="39"/>
        <v>39.814900238094424</v>
      </c>
      <c r="AG109" s="500"/>
    </row>
    <row r="110" spans="2:33" ht="29.45" customHeight="1" x14ac:dyDescent="0.25">
      <c r="B110" s="265"/>
      <c r="C110" s="222"/>
      <c r="D110" s="204"/>
      <c r="E110" s="204"/>
      <c r="F110" s="204"/>
      <c r="G110" s="204"/>
      <c r="H110" s="204"/>
      <c r="I110" s="204"/>
      <c r="J110" s="204"/>
      <c r="K110" s="204"/>
      <c r="L110" s="204"/>
      <c r="M110" s="204"/>
      <c r="N110" s="204"/>
      <c r="O110" s="204"/>
      <c r="P110" s="204"/>
      <c r="Q110" s="204"/>
      <c r="R110" s="204"/>
      <c r="S110" s="204"/>
      <c r="T110" s="204"/>
      <c r="U110" s="204"/>
      <c r="V110" s="204"/>
      <c r="W110" s="204"/>
      <c r="X110" s="204"/>
      <c r="Y110" s="204"/>
      <c r="Z110" s="204"/>
      <c r="AA110" s="204"/>
      <c r="AB110" s="204"/>
      <c r="AC110" s="204"/>
    </row>
    <row r="111" spans="2:33" ht="16.7" customHeight="1" x14ac:dyDescent="0.25">
      <c r="B111" s="222"/>
      <c r="C111" s="222"/>
      <c r="S111" s="551"/>
      <c r="T111" s="551"/>
      <c r="U111" s="222"/>
      <c r="V111" s="222"/>
      <c r="W111" s="222"/>
      <c r="X111" s="222"/>
      <c r="Y111" s="222"/>
      <c r="Z111" s="222"/>
      <c r="AA111" s="222"/>
      <c r="AB111" s="222"/>
      <c r="AC111" s="222"/>
    </row>
    <row r="112" spans="2:33" ht="16.7" customHeight="1" x14ac:dyDescent="0.25">
      <c r="B112" s="222"/>
      <c r="C112" s="222"/>
      <c r="S112" s="204"/>
      <c r="T112" s="204"/>
      <c r="U112" s="222"/>
      <c r="V112" s="222"/>
      <c r="W112" s="222"/>
      <c r="X112" s="222"/>
      <c r="Y112" s="222"/>
      <c r="Z112" s="222"/>
      <c r="AA112" s="222"/>
      <c r="AB112" s="222"/>
      <c r="AC112" s="222"/>
    </row>
    <row r="113" spans="2:30" ht="16.7" customHeight="1" x14ac:dyDescent="0.25">
      <c r="B113" s="222"/>
      <c r="C113" s="222"/>
      <c r="S113" s="204"/>
      <c r="T113" s="204"/>
      <c r="U113" s="222"/>
      <c r="V113" s="222"/>
      <c r="W113" s="222"/>
      <c r="X113" s="222"/>
      <c r="Y113" s="222"/>
      <c r="Z113" s="222"/>
      <c r="AA113" s="222"/>
      <c r="AB113" s="222"/>
      <c r="AC113" s="222"/>
    </row>
    <row r="114" spans="2:30" ht="16.7" customHeight="1" x14ac:dyDescent="0.25">
      <c r="B114" s="222"/>
      <c r="C114" s="222"/>
      <c r="S114" s="204"/>
      <c r="T114" s="204"/>
      <c r="U114" s="429"/>
      <c r="V114" s="429"/>
      <c r="W114" s="429"/>
      <c r="X114" s="429"/>
      <c r="Y114" s="429"/>
      <c r="Z114" s="429"/>
      <c r="AA114" s="429"/>
      <c r="AB114" s="429"/>
      <c r="AC114" s="429"/>
      <c r="AD114" s="512"/>
    </row>
    <row r="115" spans="2:30" ht="16.7" customHeight="1" x14ac:dyDescent="0.25">
      <c r="B115" s="464"/>
      <c r="C115" s="222"/>
      <c r="S115" s="204"/>
      <c r="T115" s="204"/>
      <c r="U115" s="204"/>
      <c r="V115" s="204"/>
      <c r="W115" s="204"/>
      <c r="X115" s="204"/>
      <c r="Y115" s="204"/>
      <c r="Z115" s="204"/>
      <c r="AA115" s="204"/>
      <c r="AB115" s="204"/>
      <c r="AC115" s="204"/>
      <c r="AD115" s="512"/>
    </row>
    <row r="116" spans="2:30" ht="16.7" customHeight="1" x14ac:dyDescent="0.25">
      <c r="B116" s="464"/>
      <c r="C116" s="222"/>
      <c r="S116" s="204"/>
      <c r="T116" s="204"/>
      <c r="U116" s="204"/>
      <c r="V116" s="204"/>
      <c r="W116" s="204"/>
      <c r="X116" s="204"/>
      <c r="Y116" s="204"/>
      <c r="Z116" s="204"/>
      <c r="AA116" s="204"/>
      <c r="AB116" s="204"/>
      <c r="AC116" s="204"/>
      <c r="AD116" s="512"/>
    </row>
    <row r="117" spans="2:30" ht="16.7" customHeight="1" x14ac:dyDescent="0.25">
      <c r="B117" s="464"/>
      <c r="C117" s="222"/>
      <c r="S117" s="204"/>
      <c r="T117" s="204"/>
      <c r="U117" s="204"/>
      <c r="V117" s="204"/>
      <c r="W117" s="204"/>
      <c r="X117" s="204"/>
      <c r="Y117" s="204"/>
      <c r="Z117" s="204"/>
      <c r="AA117" s="204"/>
      <c r="AB117" s="204"/>
      <c r="AC117" s="204"/>
      <c r="AD117" s="512"/>
    </row>
    <row r="118" spans="2:30" ht="16.7" customHeight="1" x14ac:dyDescent="0.25">
      <c r="B118" s="222"/>
      <c r="C118" s="222"/>
      <c r="S118" s="222"/>
      <c r="T118" s="222"/>
      <c r="U118" s="429"/>
      <c r="V118" s="429"/>
      <c r="W118" s="429"/>
      <c r="X118" s="429"/>
      <c r="Y118" s="429"/>
      <c r="Z118" s="429"/>
      <c r="AA118" s="429"/>
      <c r="AB118" s="429"/>
      <c r="AC118" s="429"/>
      <c r="AD118" s="512"/>
    </row>
    <row r="119" spans="2:30" ht="16.7" customHeight="1" x14ac:dyDescent="0.25">
      <c r="B119" s="464"/>
      <c r="C119" s="222"/>
      <c r="S119" s="222"/>
      <c r="T119" s="222"/>
      <c r="U119" s="429"/>
      <c r="V119" s="429"/>
      <c r="W119" s="429"/>
      <c r="X119" s="429"/>
      <c r="Y119" s="429"/>
      <c r="Z119" s="429"/>
      <c r="AA119" s="429"/>
      <c r="AB119" s="429"/>
      <c r="AC119" s="429"/>
      <c r="AD119" s="512"/>
    </row>
    <row r="120" spans="2:30" ht="16.7" customHeight="1" x14ac:dyDescent="0.25">
      <c r="B120" s="464"/>
      <c r="C120" s="222"/>
      <c r="S120" s="222"/>
      <c r="T120" s="222"/>
      <c r="U120" s="204"/>
      <c r="V120" s="204"/>
      <c r="W120" s="204"/>
      <c r="X120" s="204"/>
      <c r="Y120" s="204"/>
      <c r="Z120" s="204"/>
      <c r="AA120" s="204"/>
      <c r="AB120" s="204"/>
      <c r="AC120" s="204"/>
      <c r="AD120" s="512"/>
    </row>
    <row r="121" spans="2:30" ht="16.7" customHeight="1" x14ac:dyDescent="0.25">
      <c r="B121" s="464"/>
      <c r="C121" s="222"/>
      <c r="S121" s="222"/>
      <c r="T121" s="222"/>
      <c r="U121" s="686"/>
      <c r="V121" s="686"/>
      <c r="W121" s="686"/>
      <c r="X121" s="686"/>
      <c r="Y121" s="686"/>
      <c r="Z121" s="686"/>
      <c r="AA121" s="686"/>
      <c r="AB121" s="686"/>
      <c r="AC121" s="686"/>
      <c r="AD121" s="512"/>
    </row>
    <row r="122" spans="2:30" ht="16.7" customHeight="1" x14ac:dyDescent="0.25">
      <c r="B122" s="222"/>
      <c r="C122" s="222"/>
      <c r="S122" s="204"/>
      <c r="T122" s="204"/>
      <c r="U122" s="204"/>
      <c r="V122" s="204"/>
      <c r="W122" s="204"/>
      <c r="X122" s="204"/>
      <c r="Y122" s="204"/>
      <c r="Z122" s="204"/>
      <c r="AA122" s="204"/>
      <c r="AB122" s="204"/>
      <c r="AC122" s="204"/>
      <c r="AD122" s="512"/>
    </row>
    <row r="123" spans="2:30" ht="22.5" customHeight="1" x14ac:dyDescent="0.25">
      <c r="B123" s="265"/>
      <c r="C123" s="222"/>
      <c r="D123" s="204"/>
      <c r="E123" s="204"/>
      <c r="F123" s="204"/>
      <c r="G123" s="204"/>
      <c r="H123" s="204"/>
      <c r="I123" s="204"/>
      <c r="J123" s="204"/>
      <c r="K123" s="204"/>
      <c r="L123" s="204"/>
      <c r="M123" s="204"/>
      <c r="N123" s="204"/>
      <c r="O123" s="204"/>
      <c r="P123" s="204"/>
      <c r="Q123" s="204"/>
      <c r="R123" s="204"/>
      <c r="S123" s="204"/>
      <c r="T123" s="204"/>
      <c r="U123" s="204"/>
      <c r="V123" s="204"/>
      <c r="W123" s="204"/>
      <c r="X123" s="204"/>
      <c r="Y123" s="204"/>
      <c r="Z123" s="204"/>
      <c r="AA123" s="204"/>
      <c r="AB123" s="204"/>
      <c r="AC123" s="204"/>
    </row>
    <row r="124" spans="2:30" ht="22.5" customHeight="1" x14ac:dyDescent="0.25">
      <c r="B124" s="265"/>
      <c r="C124" s="222"/>
      <c r="D124" s="204"/>
      <c r="E124" s="204"/>
      <c r="F124" s="204"/>
      <c r="G124" s="204"/>
      <c r="H124" s="204"/>
      <c r="I124" s="204"/>
      <c r="J124" s="204"/>
      <c r="K124" s="204"/>
      <c r="L124" s="204"/>
      <c r="M124" s="204"/>
      <c r="N124" s="204"/>
      <c r="O124" s="204"/>
      <c r="P124" s="204"/>
      <c r="Q124" s="204"/>
      <c r="R124" s="204"/>
      <c r="S124" s="204"/>
      <c r="T124" s="204"/>
      <c r="U124" s="204"/>
      <c r="V124" s="204"/>
      <c r="W124" s="204"/>
      <c r="X124" s="204"/>
      <c r="Y124" s="204"/>
      <c r="Z124" s="204"/>
      <c r="AA124" s="204"/>
      <c r="AB124" s="204"/>
      <c r="AC124" s="204"/>
    </row>
    <row r="125" spans="2:30" ht="38.450000000000003" customHeight="1" x14ac:dyDescent="0.25">
      <c r="B125" s="482"/>
      <c r="C125" s="718">
        <v>2022</v>
      </c>
      <c r="D125" s="719">
        <v>2023</v>
      </c>
      <c r="E125" s="719">
        <v>2024</v>
      </c>
      <c r="F125" s="720">
        <v>2025</v>
      </c>
      <c r="G125" s="204">
        <v>2026</v>
      </c>
      <c r="H125" s="204"/>
      <c r="I125" s="204"/>
      <c r="J125" s="204"/>
      <c r="K125" s="204"/>
      <c r="L125" s="204"/>
      <c r="M125" s="204"/>
      <c r="N125" s="204"/>
      <c r="O125" s="204"/>
      <c r="P125" s="204"/>
      <c r="Q125" s="204"/>
      <c r="R125" s="204"/>
      <c r="S125" s="204"/>
      <c r="T125" s="204"/>
      <c r="U125" s="204"/>
      <c r="V125" s="204"/>
      <c r="W125" s="204"/>
      <c r="X125" s="204"/>
      <c r="Y125" s="204"/>
      <c r="Z125" s="204"/>
      <c r="AA125" s="204"/>
      <c r="AB125" s="204"/>
      <c r="AC125" s="204"/>
    </row>
    <row r="126" spans="2:30" ht="38.450000000000003" customHeight="1" x14ac:dyDescent="0.25">
      <c r="B126" s="521" t="s">
        <v>1812</v>
      </c>
      <c r="C126" s="248">
        <v>1212.4870000000001</v>
      </c>
      <c r="D126" s="248">
        <v>1344.7529999999999</v>
      </c>
      <c r="E126" s="248">
        <v>1456.7</v>
      </c>
      <c r="F126" s="248">
        <v>1553.5309999999999</v>
      </c>
      <c r="G126" s="248">
        <v>1643.9870000000001</v>
      </c>
      <c r="H126" s="204"/>
      <c r="I126" s="204"/>
      <c r="J126" s="204"/>
      <c r="K126" s="204"/>
      <c r="L126" s="204"/>
      <c r="M126" s="204"/>
      <c r="N126" s="204"/>
      <c r="O126" s="204"/>
      <c r="P126" s="204"/>
      <c r="Q126" s="204"/>
      <c r="R126" s="204"/>
      <c r="S126" s="204"/>
      <c r="T126" s="204"/>
      <c r="U126" s="204"/>
      <c r="V126" s="204"/>
      <c r="W126" s="204"/>
      <c r="X126" s="204"/>
      <c r="Y126" s="204"/>
      <c r="Z126" s="204"/>
      <c r="AA126" s="204"/>
      <c r="AB126" s="204"/>
      <c r="AC126" s="204"/>
    </row>
    <row r="127" spans="2:30" ht="69" customHeight="1" x14ac:dyDescent="0.25">
      <c r="B127" s="265"/>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c r="Z127" s="204"/>
      <c r="AA127" s="204"/>
      <c r="AB127" s="204"/>
      <c r="AC127" s="204"/>
    </row>
    <row r="128" spans="2:30" x14ac:dyDescent="0.25">
      <c r="B128" s="76" t="s">
        <v>1436</v>
      </c>
      <c r="D128" s="222"/>
      <c r="E128" s="222"/>
      <c r="F128" s="222"/>
      <c r="G128" s="222"/>
      <c r="H128" s="222"/>
      <c r="I128" s="222"/>
      <c r="J128" s="222"/>
      <c r="K128" s="222"/>
      <c r="L128" s="222"/>
      <c r="M128" s="204"/>
      <c r="N128" s="204"/>
      <c r="O128" s="204"/>
      <c r="P128" s="222"/>
    </row>
    <row r="129" spans="2:18" x14ac:dyDescent="0.25">
      <c r="B129" s="561" t="s">
        <v>811</v>
      </c>
      <c r="C129" s="424"/>
      <c r="D129" s="732">
        <v>2021</v>
      </c>
      <c r="E129" s="732">
        <v>2022</v>
      </c>
      <c r="F129" s="732">
        <v>2023</v>
      </c>
      <c r="G129" s="733">
        <v>2024</v>
      </c>
      <c r="R129" s="512"/>
    </row>
    <row r="130" spans="2:18" x14ac:dyDescent="0.25">
      <c r="B130" s="631" t="s">
        <v>812</v>
      </c>
      <c r="C130" s="739"/>
      <c r="D130" s="727">
        <v>3605.8330000000001</v>
      </c>
      <c r="E130" s="727">
        <v>2900</v>
      </c>
      <c r="F130" s="727">
        <f>E130*1.02</f>
        <v>2958</v>
      </c>
      <c r="G130" s="728">
        <f>F130*1.06</f>
        <v>3135.48</v>
      </c>
    </row>
    <row r="131" spans="2:18" x14ac:dyDescent="0.25">
      <c r="B131" s="631" t="s">
        <v>815</v>
      </c>
      <c r="C131" s="729"/>
      <c r="D131" s="722">
        <f>AVERAGE(Medicare!L10:O10)</f>
        <v>858.02499999999998</v>
      </c>
      <c r="E131" s="722">
        <f>AVERAGE(Medicare!P10:S10)</f>
        <v>917.59999999999991</v>
      </c>
      <c r="F131" s="722">
        <f>AVERAGE(Medicare!T10:W10)</f>
        <v>940.125</v>
      </c>
      <c r="G131" s="737">
        <f>AVERAGE(Medicare!X10:AA10)</f>
        <v>974.67254896253212</v>
      </c>
    </row>
    <row r="132" spans="2:18" ht="13.35" customHeight="1" x14ac:dyDescent="0.25">
      <c r="B132" s="631" t="s">
        <v>813</v>
      </c>
      <c r="C132" s="729"/>
      <c r="D132" s="722">
        <f>D130-D131</f>
        <v>2747.808</v>
      </c>
      <c r="E132" s="722">
        <f t="shared" ref="E132:G132" si="40">E130-E131</f>
        <v>1982.4</v>
      </c>
      <c r="F132" s="722">
        <f t="shared" si="40"/>
        <v>2017.875</v>
      </c>
      <c r="G132" s="737">
        <f t="shared" si="40"/>
        <v>2160.8074510374681</v>
      </c>
    </row>
    <row r="133" spans="2:18" x14ac:dyDescent="0.25">
      <c r="B133" s="631" t="s">
        <v>816</v>
      </c>
      <c r="C133" s="729"/>
      <c r="D133" s="722">
        <f>AVERAGE(L12:O12)</f>
        <v>3640.3999999999996</v>
      </c>
      <c r="E133" s="722">
        <f>AVERAGE(P12:S12)</f>
        <v>2903.3749999999995</v>
      </c>
      <c r="F133" s="722">
        <f>AVERAGE(T12:W12)</f>
        <v>2965.6843958333334</v>
      </c>
      <c r="G133" s="737">
        <f>AVERAGE(X12:AA12)</f>
        <v>3161.9468465649134</v>
      </c>
    </row>
    <row r="134" spans="2:18" x14ac:dyDescent="0.25">
      <c r="B134" s="631" t="s">
        <v>815</v>
      </c>
      <c r="C134" s="729"/>
      <c r="D134" s="722">
        <f>AVERAGE(Medicare!L10:O10)</f>
        <v>858.02499999999998</v>
      </c>
      <c r="E134" s="722">
        <f>AVERAGE(Medicare!P10:S10)</f>
        <v>917.59999999999991</v>
      </c>
      <c r="F134" s="722">
        <f>AVERAGE(Medicare!T10:W10)</f>
        <v>940.125</v>
      </c>
      <c r="G134" s="737">
        <f>AVERAGE(Medicare!X10:AA10)</f>
        <v>974.67254896253212</v>
      </c>
    </row>
    <row r="135" spans="2:18" x14ac:dyDescent="0.25">
      <c r="B135" s="631" t="s">
        <v>535</v>
      </c>
      <c r="C135" s="729"/>
      <c r="D135" s="722">
        <f>AVERAGE(L39:O39)</f>
        <v>1587.6399999999999</v>
      </c>
      <c r="E135" s="722">
        <f>AVERAGE(P39:S39)</f>
        <v>1673.6939333333335</v>
      </c>
      <c r="F135" s="722">
        <f>AVERAGE(T39:W39)</f>
        <v>1799.3932004166672</v>
      </c>
      <c r="G135" s="737">
        <f>AVERAGE(X39:AA39)</f>
        <v>1885.7821116500008</v>
      </c>
    </row>
    <row r="136" spans="2:18" ht="27.6" customHeight="1" x14ac:dyDescent="0.25">
      <c r="B136" s="730" t="s">
        <v>814</v>
      </c>
      <c r="C136" s="344"/>
      <c r="D136" s="621"/>
      <c r="E136" s="734">
        <v>1.157</v>
      </c>
      <c r="F136" s="734">
        <v>1.0109999999999999</v>
      </c>
      <c r="G136" s="738">
        <v>1.0529999999999999</v>
      </c>
    </row>
    <row r="137" spans="2:18" x14ac:dyDescent="0.25">
      <c r="B137" s="222" t="s">
        <v>817</v>
      </c>
      <c r="D137" s="735">
        <f>D133-D130</f>
        <v>34.566999999999553</v>
      </c>
      <c r="E137" s="735">
        <f>E133-E130</f>
        <v>3.3749999999995453</v>
      </c>
      <c r="F137" s="735">
        <f>F133-F130</f>
        <v>7.6843958333333831</v>
      </c>
      <c r="G137" s="735">
        <f t="shared" ref="G137" si="41">G133-G130</f>
        <v>26.46684656491334</v>
      </c>
    </row>
    <row r="139" spans="2:18" x14ac:dyDescent="0.2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25" workbookViewId="0">
      <selection activeCell="AA15" sqref="AA15"/>
    </sheetView>
  </sheetViews>
  <sheetFormatPr defaultColWidth="10.85546875" defaultRowHeight="15" x14ac:dyDescent="0.25"/>
  <sheetData>
    <row r="1" spans="13:27" x14ac:dyDescent="0.25">
      <c r="M1" s="76" t="s">
        <v>1893</v>
      </c>
      <c r="S1" s="76" t="s">
        <v>1894</v>
      </c>
      <c r="Z1" t="s">
        <v>1930</v>
      </c>
      <c r="AA1" t="s">
        <v>1931</v>
      </c>
    </row>
    <row r="2" spans="13:27" x14ac:dyDescent="0.25">
      <c r="M2" t="s">
        <v>1895</v>
      </c>
      <c r="Q2">
        <v>2952.3</v>
      </c>
      <c r="S2" t="s">
        <v>1895</v>
      </c>
      <c r="X2">
        <v>2952.3</v>
      </c>
      <c r="Z2">
        <v>2917.6753774795288</v>
      </c>
      <c r="AA2" s="675">
        <v>2928.3</v>
      </c>
    </row>
    <row r="3" spans="13:27" x14ac:dyDescent="0.25">
      <c r="M3" t="s">
        <v>1896</v>
      </c>
      <c r="P3" t="s">
        <v>1897</v>
      </c>
      <c r="Q3">
        <v>23.1</v>
      </c>
      <c r="S3" t="s">
        <v>1896</v>
      </c>
      <c r="W3" t="s">
        <v>1897</v>
      </c>
      <c r="X3">
        <v>23.1</v>
      </c>
      <c r="Z3">
        <v>22.62857142857143</v>
      </c>
      <c r="AA3">
        <v>22.62857142857143</v>
      </c>
    </row>
    <row r="4" spans="13:27" x14ac:dyDescent="0.25">
      <c r="M4" t="s">
        <v>55</v>
      </c>
      <c r="P4" t="s">
        <v>1897</v>
      </c>
      <c r="Q4">
        <v>967.3</v>
      </c>
      <c r="S4" t="s">
        <v>55</v>
      </c>
      <c r="W4" t="s">
        <v>1897</v>
      </c>
      <c r="X4">
        <v>967.3</v>
      </c>
      <c r="Z4">
        <v>944.50347271762462</v>
      </c>
      <c r="AA4">
        <v>946.3</v>
      </c>
    </row>
    <row r="5" spans="13:27" x14ac:dyDescent="0.25">
      <c r="M5" t="s">
        <v>56</v>
      </c>
      <c r="P5" t="s">
        <v>1897</v>
      </c>
      <c r="Q5">
        <v>0</v>
      </c>
      <c r="S5" t="s">
        <v>56</v>
      </c>
      <c r="W5" t="s">
        <v>1897</v>
      </c>
      <c r="X5">
        <v>0</v>
      </c>
      <c r="Z5">
        <v>0</v>
      </c>
      <c r="AA5">
        <v>0</v>
      </c>
    </row>
    <row r="6" spans="13:27" x14ac:dyDescent="0.25">
      <c r="M6" t="s">
        <v>1898</v>
      </c>
      <c r="P6" t="s">
        <v>1897</v>
      </c>
      <c r="Q6">
        <v>0</v>
      </c>
      <c r="S6" t="s">
        <v>1898</v>
      </c>
      <c r="W6" t="s">
        <v>1897</v>
      </c>
      <c r="X6">
        <v>0</v>
      </c>
      <c r="Z6">
        <v>0</v>
      </c>
      <c r="AA6">
        <v>0</v>
      </c>
    </row>
    <row r="7" spans="13:27" x14ac:dyDescent="0.25">
      <c r="Q7">
        <f>Q2-SUM(Q3:Q6)</f>
        <v>1961.9</v>
      </c>
      <c r="X7">
        <f>X2-SUM(X3:X6)</f>
        <v>1961.9</v>
      </c>
      <c r="Z7">
        <f>Z2-SUM(Z3:Z6)</f>
        <v>1950.5433333333328</v>
      </c>
      <c r="AA7">
        <f>AA2-SUM(AA3:AA6)</f>
        <v>1959.3714285714289</v>
      </c>
    </row>
    <row r="8" spans="13:27" x14ac:dyDescent="0.25">
      <c r="S8" t="s">
        <v>1899</v>
      </c>
      <c r="W8" t="s">
        <v>1897</v>
      </c>
      <c r="X8">
        <v>34</v>
      </c>
    </row>
    <row r="9" spans="13:27" x14ac:dyDescent="0.25">
      <c r="S9" t="s">
        <v>1899</v>
      </c>
      <c r="W9" t="s">
        <v>1900</v>
      </c>
      <c r="X9">
        <v>34</v>
      </c>
    </row>
    <row r="10" spans="13:27" x14ac:dyDescent="0.25">
      <c r="S10" t="s">
        <v>1901</v>
      </c>
      <c r="W10" t="s">
        <v>1897</v>
      </c>
      <c r="X10">
        <v>37.700000000000003</v>
      </c>
    </row>
    <row r="11" spans="13:27" x14ac:dyDescent="0.25">
      <c r="S11" t="s">
        <v>1901</v>
      </c>
      <c r="W11" t="s">
        <v>1900</v>
      </c>
      <c r="X11">
        <v>37.700000000000003</v>
      </c>
    </row>
    <row r="12" spans="13:27" x14ac:dyDescent="0.25">
      <c r="S12" t="s">
        <v>470</v>
      </c>
      <c r="W12" t="s">
        <v>1897</v>
      </c>
      <c r="X12">
        <v>0</v>
      </c>
    </row>
    <row r="13" spans="13:27" x14ac:dyDescent="0.25">
      <c r="S13" t="s">
        <v>470</v>
      </c>
      <c r="W13" t="s">
        <v>1900</v>
      </c>
      <c r="X13">
        <v>0</v>
      </c>
    </row>
    <row r="14" spans="13:27" x14ac:dyDescent="0.25">
      <c r="S14" t="s">
        <v>1903</v>
      </c>
      <c r="W14" t="s">
        <v>1897</v>
      </c>
      <c r="X14">
        <v>21.9</v>
      </c>
    </row>
    <row r="15" spans="13:27" x14ac:dyDescent="0.25">
      <c r="S15" t="s">
        <v>1903</v>
      </c>
      <c r="W15" t="s">
        <v>1900</v>
      </c>
      <c r="X15">
        <f>X8-X9+X10-X11+X12-X13+X14</f>
        <v>21.9</v>
      </c>
      <c r="Z15">
        <v>21.9</v>
      </c>
      <c r="AA15">
        <v>21.89</v>
      </c>
    </row>
    <row r="16" spans="13:27" x14ac:dyDescent="0.25">
      <c r="X16">
        <f>X7-X8+X9-X10+X11-X12+X13-X14+X15</f>
        <v>1961.9</v>
      </c>
    </row>
    <row r="17" spans="13:27" x14ac:dyDescent="0.25">
      <c r="S17" t="s">
        <v>1902</v>
      </c>
      <c r="W17" t="s">
        <v>1897</v>
      </c>
      <c r="X17">
        <v>12</v>
      </c>
      <c r="Z17">
        <v>12</v>
      </c>
      <c r="AA17">
        <v>12</v>
      </c>
    </row>
    <row r="18" spans="13:27" x14ac:dyDescent="0.25">
      <c r="S18" t="s">
        <v>218</v>
      </c>
      <c r="W18" t="s">
        <v>1897</v>
      </c>
      <c r="X18">
        <v>1.4</v>
      </c>
      <c r="Z18">
        <v>1.4</v>
      </c>
      <c r="AA18">
        <v>1.4</v>
      </c>
    </row>
    <row r="19" spans="13:27" x14ac:dyDescent="0.25">
      <c r="X19">
        <f>X16-X17-X18</f>
        <v>1948.5</v>
      </c>
      <c r="Z19">
        <f>Z7-Z17-Z18+Z15</f>
        <v>1959.0433333333328</v>
      </c>
      <c r="AA19">
        <f>AA7-AA17-AA18+AA15</f>
        <v>1967.8614285714289</v>
      </c>
    </row>
    <row r="21" spans="13:27" x14ac:dyDescent="0.25">
      <c r="M21" s="76" t="s">
        <v>1904</v>
      </c>
    </row>
    <row r="22" spans="13:27" x14ac:dyDescent="0.25">
      <c r="M22" s="748" t="s">
        <v>123</v>
      </c>
      <c r="N22" s="493"/>
      <c r="O22" s="493"/>
      <c r="P22" s="493"/>
      <c r="Q22" s="493"/>
      <c r="R22" s="493"/>
      <c r="S22" s="493"/>
      <c r="T22" s="493"/>
      <c r="U22" s="493"/>
      <c r="V22" s="493"/>
      <c r="W22" s="438"/>
    </row>
    <row r="23" spans="13:27" x14ac:dyDescent="0.25">
      <c r="M23" s="749" t="s">
        <v>1913</v>
      </c>
      <c r="W23" s="205"/>
    </row>
    <row r="24" spans="13:27" x14ac:dyDescent="0.25">
      <c r="M24" s="749" t="s">
        <v>1912</v>
      </c>
      <c r="N24" s="94"/>
      <c r="O24" s="94"/>
      <c r="P24" s="94"/>
      <c r="Q24" s="94"/>
      <c r="R24" s="94"/>
      <c r="S24" s="94"/>
      <c r="T24" s="94"/>
      <c r="U24" s="94"/>
      <c r="V24" s="94"/>
      <c r="W24" s="750"/>
      <c r="X24" s="94"/>
      <c r="Y24" s="94"/>
    </row>
    <row r="25" spans="13:27" x14ac:dyDescent="0.25">
      <c r="M25" s="54" t="s">
        <v>203</v>
      </c>
      <c r="W25" s="205"/>
    </row>
    <row r="26" spans="13:27" x14ac:dyDescent="0.25">
      <c r="M26" s="54" t="s">
        <v>205</v>
      </c>
      <c r="W26" s="205"/>
    </row>
    <row r="27" spans="13:27" x14ac:dyDescent="0.25">
      <c r="M27" s="54" t="s">
        <v>56</v>
      </c>
      <c r="W27" s="205"/>
    </row>
    <row r="28" spans="13:27" x14ac:dyDescent="0.25">
      <c r="M28" s="54" t="s">
        <v>214</v>
      </c>
      <c r="W28" s="205"/>
    </row>
    <row r="29" spans="13:27" x14ac:dyDescent="0.25">
      <c r="M29" s="54" t="s">
        <v>1905</v>
      </c>
      <c r="W29" s="205"/>
    </row>
    <row r="30" spans="13:27" x14ac:dyDescent="0.25">
      <c r="M30" s="751" t="s">
        <v>1906</v>
      </c>
      <c r="N30" s="36"/>
      <c r="O30" s="36"/>
      <c r="P30" s="36"/>
      <c r="Q30" s="36"/>
      <c r="R30" s="36"/>
      <c r="S30" s="36"/>
      <c r="T30" s="36"/>
      <c r="U30" s="36"/>
      <c r="V30" s="36"/>
      <c r="W30" s="206"/>
      <c r="X30" t="s">
        <v>1907</v>
      </c>
    </row>
    <row r="31" spans="13:27" x14ac:dyDescent="0.25">
      <c r="M31" s="752" t="s">
        <v>1902</v>
      </c>
      <c r="N31" s="493"/>
      <c r="O31" s="493"/>
      <c r="P31" s="493"/>
      <c r="Q31" s="493"/>
      <c r="R31" s="493"/>
      <c r="S31" s="493"/>
      <c r="T31" s="493"/>
      <c r="U31" s="493"/>
      <c r="V31" s="493"/>
      <c r="W31" s="438"/>
    </row>
    <row r="32" spans="13:27" x14ac:dyDescent="0.25">
      <c r="M32" s="751" t="s">
        <v>218</v>
      </c>
      <c r="N32" s="36"/>
      <c r="O32" s="36"/>
      <c r="P32" s="36"/>
      <c r="Q32" s="36"/>
      <c r="R32" s="36"/>
      <c r="S32" s="36"/>
      <c r="T32" s="36"/>
      <c r="U32" s="36"/>
      <c r="V32" s="36"/>
      <c r="W32" s="206"/>
      <c r="X32" t="s">
        <v>1908</v>
      </c>
    </row>
    <row r="33" spans="13:24" x14ac:dyDescent="0.25">
      <c r="M33" s="752" t="s">
        <v>135</v>
      </c>
      <c r="N33" s="493"/>
      <c r="O33" s="493"/>
      <c r="P33" s="493"/>
      <c r="Q33" s="493"/>
      <c r="R33" s="493"/>
      <c r="S33" s="493"/>
      <c r="T33" s="493"/>
      <c r="U33" s="493"/>
      <c r="V33" s="493"/>
      <c r="W33" s="438"/>
    </row>
    <row r="34" spans="13:24" x14ac:dyDescent="0.25">
      <c r="M34" s="54" t="s">
        <v>136</v>
      </c>
      <c r="W34" s="205"/>
    </row>
    <row r="35" spans="13:24" x14ac:dyDescent="0.25">
      <c r="M35" s="54" t="s">
        <v>1909</v>
      </c>
      <c r="W35" s="205"/>
    </row>
    <row r="36" spans="13:24" x14ac:dyDescent="0.25">
      <c r="M36" s="54" t="s">
        <v>129</v>
      </c>
      <c r="W36" s="205"/>
    </row>
    <row r="37" spans="13:24" x14ac:dyDescent="0.25">
      <c r="M37" s="751" t="s">
        <v>1910</v>
      </c>
      <c r="N37" s="36"/>
      <c r="O37" s="36"/>
      <c r="P37" s="36"/>
      <c r="Q37" s="36"/>
      <c r="R37" s="36"/>
      <c r="S37" s="36"/>
      <c r="T37" s="36"/>
      <c r="U37" s="36"/>
      <c r="V37" s="36"/>
      <c r="W37" s="206"/>
      <c r="X37" t="s">
        <v>1911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H14"/>
  <sheetViews>
    <sheetView workbookViewId="0">
      <selection activeCell="I18" sqref="I18"/>
    </sheetView>
  </sheetViews>
  <sheetFormatPr defaultColWidth="10.85546875" defaultRowHeight="15" x14ac:dyDescent="0.25"/>
  <sheetData>
    <row r="1" spans="2:34" x14ac:dyDescent="0.25">
      <c r="B1" s="1357" t="s">
        <v>55</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4" ht="14.25" customHeight="1" x14ac:dyDescent="0.25">
      <c r="B2" s="1449" t="s">
        <v>1915</v>
      </c>
      <c r="C2" s="1449"/>
      <c r="D2" s="1449"/>
      <c r="E2" s="1449"/>
      <c r="F2" s="1449"/>
      <c r="G2" s="1449"/>
      <c r="H2" s="1449"/>
      <c r="I2" s="1449"/>
      <c r="J2" s="1449"/>
      <c r="K2" s="1449"/>
      <c r="L2" s="1449"/>
      <c r="M2" s="1449"/>
      <c r="N2" s="1449"/>
      <c r="O2" s="1449"/>
      <c r="P2" s="1449"/>
      <c r="Q2" s="1449"/>
      <c r="R2" s="1449"/>
      <c r="S2" s="595"/>
      <c r="T2" s="1450"/>
      <c r="U2" s="1450"/>
      <c r="V2" s="1450"/>
      <c r="W2" s="1450"/>
      <c r="X2" s="1450"/>
      <c r="Y2" s="1450"/>
      <c r="Z2" s="1450"/>
      <c r="AA2" s="1450"/>
      <c r="AB2" s="1450"/>
      <c r="AC2" s="1450"/>
    </row>
    <row r="3" spans="2:34" x14ac:dyDescent="0.25">
      <c r="B3" s="1449"/>
      <c r="C3" s="1449"/>
      <c r="D3" s="1449"/>
      <c r="E3" s="1449"/>
      <c r="F3" s="1449"/>
      <c r="G3" s="1449"/>
      <c r="H3" s="1449"/>
      <c r="I3" s="1449"/>
      <c r="J3" s="1449"/>
      <c r="K3" s="1449"/>
      <c r="L3" s="1449"/>
      <c r="M3" s="1449"/>
      <c r="N3" s="1449"/>
      <c r="O3" s="1449"/>
      <c r="P3" s="1449"/>
      <c r="Q3" s="1449"/>
      <c r="R3" s="1449"/>
      <c r="S3" s="595"/>
      <c r="T3" s="1450"/>
      <c r="U3" s="1450"/>
      <c r="V3" s="1450"/>
      <c r="W3" s="1450"/>
      <c r="X3" s="1450"/>
      <c r="Y3" s="1450"/>
      <c r="Z3" s="1450"/>
      <c r="AA3" s="1450"/>
      <c r="AB3" s="1450"/>
      <c r="AC3" s="1450"/>
    </row>
    <row r="4" spans="2:34" ht="21" customHeight="1" x14ac:dyDescent="0.25">
      <c r="B4" s="1449"/>
      <c r="C4" s="1449"/>
      <c r="D4" s="1449"/>
      <c r="E4" s="1449"/>
      <c r="F4" s="1449"/>
      <c r="G4" s="1449"/>
      <c r="H4" s="1449"/>
      <c r="I4" s="1449"/>
      <c r="J4" s="1449"/>
      <c r="K4" s="1449"/>
      <c r="L4" s="1449"/>
      <c r="M4" s="1449"/>
      <c r="N4" s="1449"/>
      <c r="O4" s="1449"/>
      <c r="P4" s="1449"/>
      <c r="Q4" s="1449"/>
      <c r="R4" s="1449"/>
      <c r="S4" s="595"/>
      <c r="T4" s="1450"/>
      <c r="U4" s="1450"/>
      <c r="V4" s="1450"/>
      <c r="W4" s="1450"/>
      <c r="X4" s="1450"/>
      <c r="Y4" s="1450"/>
      <c r="Z4" s="1450"/>
      <c r="AA4" s="1450"/>
      <c r="AB4" s="1450"/>
      <c r="AC4" s="1450"/>
    </row>
    <row r="6" spans="2:34" x14ac:dyDescent="0.25">
      <c r="B6" s="509" t="s">
        <v>333</v>
      </c>
    </row>
    <row r="7" spans="2:34" ht="14.85" customHeight="1" x14ac:dyDescent="0.25">
      <c r="B7" s="1362" t="s">
        <v>1916</v>
      </c>
      <c r="C7" s="1363"/>
      <c r="D7" s="1366" t="s">
        <v>280</v>
      </c>
      <c r="E7" s="1379"/>
      <c r="F7" s="1379"/>
      <c r="G7" s="1379"/>
      <c r="H7" s="1379"/>
      <c r="I7" s="1379"/>
      <c r="J7" s="1379"/>
      <c r="K7" s="1379"/>
      <c r="L7" s="1379"/>
      <c r="M7" s="1379"/>
      <c r="N7" s="1379"/>
      <c r="O7" s="1379"/>
      <c r="P7" s="1379"/>
      <c r="Q7" s="1379"/>
      <c r="R7" s="1379"/>
      <c r="S7" s="1379"/>
      <c r="T7" s="1379"/>
      <c r="U7" s="1380"/>
      <c r="V7" s="1365"/>
      <c r="W7" s="1390" t="s">
        <v>281</v>
      </c>
      <c r="X7" s="1391"/>
      <c r="Y7" s="1391"/>
      <c r="Z7" s="1391"/>
      <c r="AA7" s="1391"/>
      <c r="AB7" s="1391"/>
      <c r="AC7" s="1391"/>
      <c r="AD7" s="1391"/>
      <c r="AE7" s="1391"/>
      <c r="AF7" s="1391"/>
      <c r="AG7" s="1391"/>
    </row>
    <row r="8" spans="2:34" x14ac:dyDescent="0.25">
      <c r="B8" s="1364"/>
      <c r="C8" s="1365"/>
      <c r="D8" s="200">
        <v>2018</v>
      </c>
      <c r="E8" s="1371">
        <v>2019</v>
      </c>
      <c r="F8" s="1372"/>
      <c r="G8" s="1372"/>
      <c r="H8" s="1373"/>
      <c r="I8" s="1371">
        <v>2020</v>
      </c>
      <c r="J8" s="1372"/>
      <c r="K8" s="1372"/>
      <c r="L8" s="1372"/>
      <c r="M8" s="1371">
        <v>2021</v>
      </c>
      <c r="N8" s="1372"/>
      <c r="O8" s="1372"/>
      <c r="P8" s="1403"/>
      <c r="Q8" s="1371">
        <v>2022</v>
      </c>
      <c r="R8" s="1403"/>
      <c r="S8" s="1403"/>
      <c r="T8" s="1403"/>
      <c r="U8" s="221"/>
      <c r="V8" s="270">
        <v>2023</v>
      </c>
      <c r="W8" s="272"/>
      <c r="X8" s="242"/>
      <c r="Y8" s="1369">
        <v>2024</v>
      </c>
      <c r="Z8" s="1381"/>
      <c r="AA8" s="1381"/>
      <c r="AB8" s="1370"/>
      <c r="AC8" s="1368">
        <v>2025</v>
      </c>
      <c r="AD8" s="1381"/>
      <c r="AE8" s="1381"/>
      <c r="AF8" s="1370"/>
      <c r="AG8" s="498">
        <v>2026</v>
      </c>
    </row>
    <row r="9" spans="2:34" x14ac:dyDescent="0.25">
      <c r="B9" s="1366"/>
      <c r="C9" s="1367"/>
      <c r="D9" s="195" t="s">
        <v>282</v>
      </c>
      <c r="E9" s="195" t="s">
        <v>283</v>
      </c>
      <c r="F9" s="196" t="s">
        <v>284</v>
      </c>
      <c r="G9" s="196" t="s">
        <v>238</v>
      </c>
      <c r="H9" s="197" t="s">
        <v>282</v>
      </c>
      <c r="I9" s="196" t="s">
        <v>283</v>
      </c>
      <c r="J9" s="196" t="s">
        <v>284</v>
      </c>
      <c r="K9" s="196" t="s">
        <v>238</v>
      </c>
      <c r="L9" s="196" t="s">
        <v>282</v>
      </c>
      <c r="M9" s="195" t="s">
        <v>283</v>
      </c>
      <c r="N9" s="196" t="s">
        <v>284</v>
      </c>
      <c r="O9" s="196" t="s">
        <v>238</v>
      </c>
      <c r="P9" s="196" t="s">
        <v>282</v>
      </c>
      <c r="Q9" s="195" t="s">
        <v>283</v>
      </c>
      <c r="R9" s="196" t="s">
        <v>284</v>
      </c>
      <c r="S9" s="196" t="s">
        <v>238</v>
      </c>
      <c r="T9" s="196" t="s">
        <v>282</v>
      </c>
      <c r="U9" s="267" t="s">
        <v>283</v>
      </c>
      <c r="V9" s="268" t="s">
        <v>284</v>
      </c>
      <c r="W9" s="252" t="s">
        <v>238</v>
      </c>
      <c r="X9" s="253" t="s">
        <v>282</v>
      </c>
      <c r="Y9" s="252" t="s">
        <v>283</v>
      </c>
      <c r="Z9" s="249" t="s">
        <v>284</v>
      </c>
      <c r="AA9" s="252" t="s">
        <v>238</v>
      </c>
      <c r="AB9" s="252" t="s">
        <v>282</v>
      </c>
      <c r="AC9" s="251" t="s">
        <v>283</v>
      </c>
      <c r="AD9" s="249" t="s">
        <v>284</v>
      </c>
      <c r="AE9" s="252" t="s">
        <v>238</v>
      </c>
      <c r="AF9" s="252" t="s">
        <v>282</v>
      </c>
      <c r="AG9" s="251" t="s">
        <v>283</v>
      </c>
    </row>
    <row r="10" spans="2:34" x14ac:dyDescent="0.25">
      <c r="S10" s="754" t="s">
        <v>184</v>
      </c>
      <c r="T10" s="754" t="s">
        <v>185</v>
      </c>
      <c r="U10" s="754" t="s">
        <v>186</v>
      </c>
      <c r="V10" s="754" t="s">
        <v>187</v>
      </c>
      <c r="W10" s="754" t="s">
        <v>188</v>
      </c>
      <c r="X10" s="754" t="s">
        <v>189</v>
      </c>
      <c r="Y10" s="754" t="s">
        <v>190</v>
      </c>
      <c r="Z10" s="754" t="s">
        <v>191</v>
      </c>
      <c r="AA10" s="754" t="s">
        <v>175</v>
      </c>
      <c r="AB10" s="754" t="s">
        <v>176</v>
      </c>
      <c r="AC10" s="754" t="s">
        <v>177</v>
      </c>
      <c r="AD10" s="754" t="s">
        <v>768</v>
      </c>
      <c r="AE10" s="754" t="s">
        <v>769</v>
      </c>
      <c r="AF10" s="754" t="s">
        <v>770</v>
      </c>
      <c r="AG10" s="754" t="s">
        <v>1162</v>
      </c>
      <c r="AH10" s="754" t="s">
        <v>1163</v>
      </c>
    </row>
    <row r="11" spans="2:34" x14ac:dyDescent="0.25">
      <c r="S11" s="753"/>
      <c r="T11" s="753"/>
      <c r="U11" s="753"/>
      <c r="V11" s="753"/>
      <c r="W11" s="753"/>
      <c r="X11" s="753"/>
      <c r="Y11" s="753"/>
      <c r="Z11" s="753"/>
      <c r="AA11" s="753"/>
      <c r="AB11" s="753"/>
      <c r="AC11" s="753"/>
      <c r="AD11" s="753"/>
      <c r="AE11" s="753"/>
      <c r="AF11" s="753"/>
      <c r="AG11" s="753"/>
      <c r="AH11" s="753"/>
    </row>
    <row r="12" spans="2:34" x14ac:dyDescent="0.25">
      <c r="B12" s="753" t="s">
        <v>1874</v>
      </c>
      <c r="P12" s="753" t="s">
        <v>1874</v>
      </c>
      <c r="S12" s="753">
        <v>9.1428571428571441</v>
      </c>
      <c r="T12" s="753">
        <v>9.1428571428571441</v>
      </c>
      <c r="U12" s="753">
        <v>28.342857142857145</v>
      </c>
      <c r="V12" s="753">
        <v>45.714285714285722</v>
      </c>
      <c r="W12" s="753">
        <v>65</v>
      </c>
      <c r="X12" s="753">
        <v>83</v>
      </c>
      <c r="Y12" s="753">
        <v>95</v>
      </c>
      <c r="Z12" s="753">
        <v>91.428571428571445</v>
      </c>
      <c r="AA12" s="753">
        <v>81.676190476190499</v>
      </c>
      <c r="AB12" s="753">
        <v>72.228571428571442</v>
      </c>
      <c r="AC12" s="753">
        <v>59</v>
      </c>
      <c r="AD12" s="753">
        <v>48</v>
      </c>
      <c r="AE12" s="753">
        <v>40</v>
      </c>
      <c r="AF12" s="753">
        <v>40</v>
      </c>
      <c r="AG12" s="753">
        <v>40</v>
      </c>
      <c r="AH12" s="753">
        <v>40</v>
      </c>
    </row>
    <row r="13" spans="2:34" x14ac:dyDescent="0.25">
      <c r="B13" s="753" t="s">
        <v>1875</v>
      </c>
      <c r="P13" s="753" t="s">
        <v>1875</v>
      </c>
      <c r="S13" s="755">
        <v>1.2372660206226285</v>
      </c>
      <c r="T13" s="755">
        <v>1.248682720244251</v>
      </c>
      <c r="U13" s="755">
        <v>1.2615323491280164</v>
      </c>
      <c r="V13" s="755">
        <v>1.2711595804574931</v>
      </c>
      <c r="W13" s="755">
        <v>1.2805988589197217</v>
      </c>
      <c r="X13" s="755">
        <v>1.2903026473835131</v>
      </c>
      <c r="Y13" s="755">
        <v>1.2992703261336995</v>
      </c>
      <c r="Z13" s="755">
        <v>1.3072384685165053</v>
      </c>
      <c r="AA13" s="755">
        <v>1.3154269306958029</v>
      </c>
      <c r="AB13" s="755">
        <v>1.3233344552591992</v>
      </c>
      <c r="AC13" s="755">
        <v>1.3308984310938612</v>
      </c>
      <c r="AD13" s="755">
        <v>1.3383543012580754</v>
      </c>
      <c r="AE13" s="755">
        <v>1.3457221150918501</v>
      </c>
      <c r="AF13" s="755">
        <v>1.3530984416878797</v>
      </c>
      <c r="AG13" s="756">
        <v>0</v>
      </c>
      <c r="AH13" s="756">
        <v>0</v>
      </c>
    </row>
    <row r="14" spans="2:34" x14ac:dyDescent="0.25">
      <c r="B14" s="753" t="s">
        <v>1876</v>
      </c>
      <c r="P14" s="753" t="s">
        <v>1876</v>
      </c>
      <c r="S14" s="753">
        <v>11.312146474264033</v>
      </c>
      <c r="T14" s="753">
        <v>11.41652772794744</v>
      </c>
      <c r="U14" s="753">
        <v>35.755431152428351</v>
      </c>
      <c r="V14" s="753">
        <v>58.110152249485409</v>
      </c>
      <c r="W14" s="753">
        <v>83.238925829781905</v>
      </c>
      <c r="X14" s="753">
        <v>107.09511973283159</v>
      </c>
      <c r="Y14" s="753">
        <v>123.43068098270146</v>
      </c>
      <c r="Z14" s="753">
        <v>119.51894569293765</v>
      </c>
      <c r="AA14" s="753">
        <v>107.43906054902104</v>
      </c>
      <c r="AB14" s="753">
        <v>95.582557225578753</v>
      </c>
      <c r="AC14" s="753">
        <v>78.523007434537817</v>
      </c>
      <c r="AD14" s="753">
        <v>64.241006460387624</v>
      </c>
      <c r="AE14" s="753">
        <v>53.828884603674005</v>
      </c>
      <c r="AF14" s="753">
        <v>54.123937667515193</v>
      </c>
      <c r="AG14" s="753">
        <v>0</v>
      </c>
      <c r="AH14" s="753">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3"/>
  <sheetViews>
    <sheetView topLeftCell="N1" zoomScale="80" zoomScaleNormal="80" workbookViewId="0">
      <selection activeCell="X24" sqref="X24"/>
    </sheetView>
  </sheetViews>
  <sheetFormatPr defaultColWidth="10.85546875" defaultRowHeight="15" x14ac:dyDescent="0.25"/>
  <cols>
    <col min="1" max="2" width="0" hidden="1" customWidth="1"/>
    <col min="4" max="4" width="45.140625" customWidth="1"/>
    <col min="5" max="5" width="11.140625" customWidth="1"/>
    <col min="11" max="11" width="10.85546875" customWidth="1"/>
    <col min="12" max="12" width="24.7109375" customWidth="1"/>
    <col min="13" max="13" width="12.42578125" customWidth="1"/>
    <col min="14" max="15" width="13.42578125" customWidth="1"/>
    <col min="16" max="16" width="11.140625" customWidth="1"/>
    <col min="19" max="19" width="12" customWidth="1"/>
    <col min="31" max="31" width="17.85546875" customWidth="1"/>
  </cols>
  <sheetData>
    <row r="1" spans="4:56" x14ac:dyDescent="0.25">
      <c r="D1" s="1357" t="s">
        <v>58</v>
      </c>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4:56" ht="14.25" customHeight="1" x14ac:dyDescent="0.25">
      <c r="D2" s="1396" t="s">
        <v>917</v>
      </c>
      <c r="E2" s="1396"/>
      <c r="F2" s="1396"/>
      <c r="G2" s="1396"/>
      <c r="H2" s="1396"/>
      <c r="I2" s="1396"/>
      <c r="J2" s="1396"/>
      <c r="K2" s="1396"/>
      <c r="L2" s="1396"/>
      <c r="M2" s="1396"/>
      <c r="N2" s="1396"/>
      <c r="O2" s="1396"/>
      <c r="P2" s="1396"/>
      <c r="Q2" s="1396"/>
      <c r="R2" s="1396"/>
      <c r="S2" s="1396"/>
      <c r="T2" s="1396"/>
      <c r="U2" s="1396"/>
      <c r="V2" s="1396"/>
      <c r="W2" s="1396"/>
      <c r="X2" s="1396"/>
      <c r="Y2" s="1396"/>
      <c r="Z2" s="1396"/>
      <c r="AA2" s="1396"/>
      <c r="AB2" s="1396"/>
      <c r="AC2" s="1396"/>
    </row>
    <row r="3" spans="4:56" ht="84.75" customHeight="1" x14ac:dyDescent="0.25">
      <c r="D3" s="1396"/>
      <c r="E3" s="1396"/>
      <c r="F3" s="1396"/>
      <c r="G3" s="1396"/>
      <c r="H3" s="1396"/>
      <c r="I3" s="1396"/>
      <c r="J3" s="1396"/>
      <c r="K3" s="1396"/>
      <c r="L3" s="1396"/>
      <c r="M3" s="1396"/>
      <c r="N3" s="1396"/>
      <c r="O3" s="1396"/>
      <c r="P3" s="1396"/>
      <c r="Q3" s="1396"/>
      <c r="R3" s="1396"/>
      <c r="S3" s="1396"/>
      <c r="T3" s="1396"/>
      <c r="U3" s="1396"/>
      <c r="V3" s="1396"/>
      <c r="W3" s="1396"/>
      <c r="X3" s="1396"/>
      <c r="Y3" s="1396"/>
      <c r="Z3" s="1396"/>
      <c r="AA3" s="1396"/>
      <c r="AB3" s="1396"/>
      <c r="AC3" s="1396"/>
    </row>
    <row r="4" spans="4:56" x14ac:dyDescent="0.25">
      <c r="D4" s="774" t="s">
        <v>333</v>
      </c>
      <c r="W4" s="35"/>
    </row>
    <row r="5" spans="4:56" x14ac:dyDescent="0.25">
      <c r="D5" s="1362" t="s">
        <v>404</v>
      </c>
      <c r="E5" s="1363"/>
      <c r="F5" s="1465" t="s">
        <v>280</v>
      </c>
      <c r="G5" s="1466"/>
      <c r="H5" s="1466"/>
      <c r="I5" s="1466"/>
      <c r="J5" s="1466"/>
      <c r="K5" s="1466"/>
      <c r="L5" s="1466"/>
      <c r="M5" s="1466"/>
      <c r="N5" s="1466"/>
      <c r="O5" s="1466"/>
      <c r="P5" s="1466"/>
      <c r="Q5" s="1466"/>
      <c r="R5" s="1466"/>
      <c r="S5" s="1466"/>
      <c r="T5" s="1466"/>
      <c r="U5" s="1466"/>
      <c r="V5" s="1467"/>
      <c r="W5" s="1390" t="s">
        <v>281</v>
      </c>
      <c r="X5" s="1391"/>
      <c r="Y5" s="1391"/>
      <c r="Z5" s="1391"/>
      <c r="AA5" s="1391"/>
      <c r="AB5" s="1391"/>
      <c r="AC5" s="1391"/>
      <c r="AD5" s="1391"/>
      <c r="AE5" s="1391"/>
      <c r="AF5" s="1391"/>
      <c r="AG5" s="1391"/>
      <c r="AH5" s="920"/>
      <c r="AI5" s="920"/>
      <c r="AJ5" s="920"/>
      <c r="AK5" s="920"/>
      <c r="AL5" s="920"/>
      <c r="AM5" s="920"/>
      <c r="AN5" s="920"/>
      <c r="AO5" s="920"/>
      <c r="AP5" s="920"/>
      <c r="AQ5" s="920"/>
      <c r="AR5" s="920"/>
      <c r="AS5" s="920"/>
      <c r="AT5" s="920"/>
      <c r="AU5" s="920"/>
      <c r="AV5" s="920"/>
      <c r="AW5" s="920"/>
      <c r="AX5" s="920"/>
      <c r="AY5" s="920"/>
      <c r="AZ5" s="920"/>
      <c r="BA5" s="920"/>
      <c r="BB5" s="920"/>
      <c r="BC5" s="920"/>
      <c r="BD5" s="920"/>
    </row>
    <row r="6" spans="4:56" x14ac:dyDescent="0.25">
      <c r="D6" s="1364"/>
      <c r="E6" s="1380"/>
      <c r="F6" s="1359">
        <v>2019</v>
      </c>
      <c r="G6" s="1360"/>
      <c r="H6" s="1361"/>
      <c r="I6" s="1360">
        <v>2020</v>
      </c>
      <c r="J6" s="1360"/>
      <c r="K6" s="1360"/>
      <c r="L6" s="1360"/>
      <c r="M6" s="1371">
        <v>2021</v>
      </c>
      <c r="N6" s="1372"/>
      <c r="O6" s="1372"/>
      <c r="P6" s="1372"/>
      <c r="Q6" s="1371">
        <v>2022</v>
      </c>
      <c r="R6" s="1403"/>
      <c r="S6" s="1403"/>
      <c r="T6" s="1373"/>
      <c r="U6" s="270"/>
      <c r="V6" s="270">
        <v>2023</v>
      </c>
      <c r="W6" s="552"/>
      <c r="X6" s="242"/>
      <c r="Y6" s="1368">
        <v>2024</v>
      </c>
      <c r="Z6" s="1381"/>
      <c r="AA6" s="1381"/>
      <c r="AB6" s="1370"/>
      <c r="AC6" s="1368">
        <v>2025</v>
      </c>
      <c r="AD6" s="1381"/>
      <c r="AE6" s="1381"/>
      <c r="AF6" s="1370"/>
      <c r="AG6" s="498">
        <v>2026</v>
      </c>
      <c r="AH6" s="921"/>
      <c r="AI6" s="921"/>
      <c r="AJ6" s="921"/>
      <c r="AK6" s="921"/>
      <c r="AL6" s="921"/>
      <c r="AM6" s="921"/>
      <c r="AN6" s="921"/>
      <c r="AO6" s="921"/>
      <c r="AP6" s="921"/>
      <c r="AQ6" s="921"/>
      <c r="AR6" s="921"/>
      <c r="AS6" s="921"/>
      <c r="AT6" s="921"/>
      <c r="AU6" s="921"/>
      <c r="AV6" s="921"/>
      <c r="AW6" s="921"/>
      <c r="AX6" s="921"/>
      <c r="AY6" s="921"/>
      <c r="AZ6" s="921"/>
      <c r="BA6" s="921"/>
      <c r="BB6" s="921"/>
      <c r="BC6" s="921"/>
    </row>
    <row r="7" spans="4:56" x14ac:dyDescent="0.25">
      <c r="D7" s="1366"/>
      <c r="E7" s="1379"/>
      <c r="F7" s="195" t="s">
        <v>284</v>
      </c>
      <c r="G7" s="196" t="s">
        <v>238</v>
      </c>
      <c r="H7" s="197" t="s">
        <v>282</v>
      </c>
      <c r="I7" s="196" t="s">
        <v>283</v>
      </c>
      <c r="J7" s="196" t="s">
        <v>284</v>
      </c>
      <c r="K7" s="196" t="s">
        <v>238</v>
      </c>
      <c r="L7" s="196" t="s">
        <v>282</v>
      </c>
      <c r="M7" s="195" t="s">
        <v>283</v>
      </c>
      <c r="N7" s="196" t="s">
        <v>284</v>
      </c>
      <c r="O7" s="196" t="s">
        <v>238</v>
      </c>
      <c r="P7" s="196" t="s">
        <v>282</v>
      </c>
      <c r="Q7" s="195" t="s">
        <v>283</v>
      </c>
      <c r="R7" s="196" t="s">
        <v>284</v>
      </c>
      <c r="S7" s="196" t="s">
        <v>238</v>
      </c>
      <c r="T7" s="197" t="s">
        <v>282</v>
      </c>
      <c r="U7" s="196" t="s">
        <v>283</v>
      </c>
      <c r="V7" s="268" t="s">
        <v>284</v>
      </c>
      <c r="W7" s="312" t="s">
        <v>238</v>
      </c>
      <c r="X7" s="420" t="s">
        <v>282</v>
      </c>
      <c r="Y7" s="421" t="s">
        <v>283</v>
      </c>
      <c r="Z7" s="320" t="s">
        <v>284</v>
      </c>
      <c r="AA7" s="312" t="s">
        <v>238</v>
      </c>
      <c r="AB7" s="312" t="s">
        <v>282</v>
      </c>
      <c r="AC7" s="251" t="s">
        <v>283</v>
      </c>
      <c r="AD7" s="249" t="s">
        <v>284</v>
      </c>
      <c r="AE7" s="252" t="s">
        <v>238</v>
      </c>
      <c r="AF7" s="252" t="s">
        <v>282</v>
      </c>
      <c r="AG7" s="251" t="s">
        <v>283</v>
      </c>
      <c r="AH7" s="882"/>
      <c r="AI7" s="882"/>
      <c r="AJ7" s="882"/>
      <c r="AK7" s="882"/>
      <c r="AL7" s="882"/>
      <c r="AM7" s="882"/>
      <c r="AN7" s="882"/>
      <c r="AO7" s="882"/>
      <c r="AP7" s="882"/>
      <c r="AQ7" s="882"/>
      <c r="AR7" s="882"/>
      <c r="AS7" s="882"/>
      <c r="AT7" s="882"/>
      <c r="AU7" s="882"/>
      <c r="AV7" s="882"/>
      <c r="AW7" s="882"/>
      <c r="AX7" s="882"/>
      <c r="AY7" s="882"/>
      <c r="AZ7" s="882"/>
      <c r="BA7" s="882"/>
      <c r="BB7" s="882"/>
      <c r="BC7" s="882"/>
    </row>
    <row r="8" spans="4:56" x14ac:dyDescent="0.25">
      <c r="D8" s="793" t="s">
        <v>466</v>
      </c>
      <c r="E8" s="69"/>
      <c r="F8" s="787"/>
      <c r="G8" s="788"/>
      <c r="H8" s="788"/>
      <c r="I8" s="788"/>
      <c r="J8" s="788"/>
      <c r="K8" s="788"/>
      <c r="L8" s="788"/>
      <c r="M8" s="788"/>
      <c r="N8" s="788"/>
      <c r="O8" s="788"/>
      <c r="P8" s="788"/>
      <c r="Q8" s="788"/>
      <c r="R8" s="788"/>
      <c r="S8" s="788"/>
      <c r="T8" s="788"/>
      <c r="U8" s="881"/>
      <c r="V8" s="881"/>
      <c r="W8" s="881"/>
      <c r="X8" s="788"/>
      <c r="Y8" s="789"/>
      <c r="Z8" s="789"/>
      <c r="AA8" s="789"/>
      <c r="AB8" s="789"/>
      <c r="AC8" s="954"/>
      <c r="AD8" s="954"/>
      <c r="AE8" s="954"/>
      <c r="AF8" s="954"/>
      <c r="AG8" s="954"/>
      <c r="AH8" s="686"/>
      <c r="AI8" s="686"/>
      <c r="AJ8" s="686"/>
      <c r="AK8" s="686"/>
      <c r="AL8" s="686"/>
      <c r="AM8" s="686"/>
      <c r="AN8" s="686"/>
      <c r="AO8" s="686"/>
      <c r="AP8" s="686"/>
      <c r="AQ8" s="686"/>
      <c r="AR8" s="686"/>
      <c r="AS8" s="686"/>
      <c r="AT8" s="686"/>
      <c r="AU8" s="686"/>
      <c r="AV8" s="686"/>
      <c r="AW8" s="686"/>
      <c r="AX8" s="686"/>
      <c r="AY8" s="686"/>
      <c r="AZ8" s="686"/>
      <c r="BA8" s="686"/>
      <c r="BB8" s="686"/>
      <c r="BC8" s="686"/>
    </row>
    <row r="9" spans="4:56" ht="14.85" customHeight="1" x14ac:dyDescent="0.25">
      <c r="D9" s="484" t="s">
        <v>481</v>
      </c>
      <c r="E9" s="792"/>
      <c r="F9" s="877">
        <f t="shared" ref="F9:S9" si="0">SUM(F10:F14)</f>
        <v>3262.7999999999997</v>
      </c>
      <c r="G9" s="877">
        <f t="shared" si="0"/>
        <v>3288.1000000000004</v>
      </c>
      <c r="H9" s="877">
        <f t="shared" si="0"/>
        <v>3338</v>
      </c>
      <c r="I9" s="877">
        <f t="shared" si="0"/>
        <v>3404.2999999999997</v>
      </c>
      <c r="J9" s="877">
        <f t="shared" si="0"/>
        <v>3145.3</v>
      </c>
      <c r="K9" s="877">
        <f t="shared" si="0"/>
        <v>3330.5</v>
      </c>
      <c r="L9" s="877">
        <f t="shared" si="0"/>
        <v>3493.7000000000003</v>
      </c>
      <c r="M9" s="877">
        <f t="shared" si="0"/>
        <v>3658.9</v>
      </c>
      <c r="N9" s="877">
        <f t="shared" si="0"/>
        <v>3818.6000000000004</v>
      </c>
      <c r="O9" s="877">
        <f t="shared" si="0"/>
        <v>3938.9</v>
      </c>
      <c r="P9" s="877">
        <f t="shared" si="0"/>
        <v>4059.7000000000003</v>
      </c>
      <c r="Q9" s="877">
        <f t="shared" si="0"/>
        <v>4353.7</v>
      </c>
      <c r="R9" s="877">
        <f t="shared" si="0"/>
        <v>4373.2</v>
      </c>
      <c r="S9" s="877">
        <f t="shared" si="0"/>
        <v>4423.7</v>
      </c>
      <c r="T9" s="877">
        <f t="shared" ref="T9:AC9" si="1">SUM(T10,T12,T14)</f>
        <v>4387.7</v>
      </c>
      <c r="U9" s="877">
        <f>SUM(U10,U12,U14)</f>
        <v>4116.5</v>
      </c>
      <c r="V9" s="877">
        <f t="shared" si="1"/>
        <v>4129.2</v>
      </c>
      <c r="W9" s="877">
        <f t="shared" si="1"/>
        <v>4161.7</v>
      </c>
      <c r="X9" s="877">
        <f>SUM(X10,X12,X14)</f>
        <v>4200.6000000000004</v>
      </c>
      <c r="Y9" s="939">
        <f t="shared" si="1"/>
        <v>4407.3304337474447</v>
      </c>
      <c r="Z9" s="939">
        <f t="shared" si="1"/>
        <v>4435.3774172156645</v>
      </c>
      <c r="AA9" s="939">
        <f t="shared" si="1"/>
        <v>4463.6187188208378</v>
      </c>
      <c r="AB9" s="939">
        <f t="shared" si="1"/>
        <v>4498.0670391494805</v>
      </c>
      <c r="AC9" s="939">
        <f t="shared" si="1"/>
        <v>4571.1229021772006</v>
      </c>
      <c r="AD9" s="939">
        <f t="shared" ref="AD9:AG9" si="2">SUM(AD10,AD12,AD14)</f>
        <v>4606.3838530771181</v>
      </c>
      <c r="AE9" s="939">
        <f t="shared" si="2"/>
        <v>4641.9617795025433</v>
      </c>
      <c r="AF9" s="939">
        <f t="shared" si="2"/>
        <v>4677.8599008040728</v>
      </c>
      <c r="AG9" s="939">
        <f t="shared" si="2"/>
        <v>4753.760939499768</v>
      </c>
      <c r="AH9" s="846"/>
      <c r="AI9" s="846"/>
      <c r="AJ9" s="846"/>
      <c r="AK9" s="846"/>
      <c r="AL9" s="846"/>
      <c r="AM9" s="846"/>
      <c r="AN9" s="846"/>
      <c r="AO9" s="846"/>
      <c r="AU9" s="925"/>
      <c r="AV9" s="925"/>
      <c r="AW9" s="925"/>
      <c r="AX9" s="925"/>
      <c r="AY9" s="925"/>
      <c r="AZ9" s="925"/>
      <c r="BA9" s="925"/>
      <c r="BB9" s="925"/>
      <c r="BC9" s="925"/>
    </row>
    <row r="10" spans="4:56" x14ac:dyDescent="0.25">
      <c r="D10" s="516" t="s">
        <v>482</v>
      </c>
      <c r="E10" s="52" t="s">
        <v>115</v>
      </c>
      <c r="F10" s="880">
        <f>'Haver Pivoted'!GQ27</f>
        <v>1689.1</v>
      </c>
      <c r="G10" s="880">
        <f>'Haver Pivoted'!GR27</f>
        <v>1700.3</v>
      </c>
      <c r="H10" s="880">
        <f>'Haver Pivoted'!GS27</f>
        <v>1732.4</v>
      </c>
      <c r="I10" s="880">
        <f>'Haver Pivoted'!GT27</f>
        <v>1767.8</v>
      </c>
      <c r="J10" s="880">
        <f>'Haver Pivoted'!GU27</f>
        <v>1631.4</v>
      </c>
      <c r="K10" s="880">
        <f>'Haver Pivoted'!GV27</f>
        <v>1747.9</v>
      </c>
      <c r="L10" s="880">
        <f>'Haver Pivoted'!GW27</f>
        <v>1866.9</v>
      </c>
      <c r="M10" s="880">
        <f>'Haver Pivoted'!GX27</f>
        <v>2013.4</v>
      </c>
      <c r="N10" s="880">
        <f>'Haver Pivoted'!GY27</f>
        <v>2118.4</v>
      </c>
      <c r="O10" s="880">
        <f>'Haver Pivoted'!GZ27</f>
        <v>2200</v>
      </c>
      <c r="P10" s="880">
        <f>'Haver Pivoted'!HA27</f>
        <v>2265.3000000000002</v>
      </c>
      <c r="Q10" s="880">
        <f>'Haver Pivoted'!HB27</f>
        <v>2506.9</v>
      </c>
      <c r="R10" s="880">
        <f>'Haver Pivoted'!HC27</f>
        <v>2502.6</v>
      </c>
      <c r="S10" s="880">
        <f>'Haver Pivoted'!HD27</f>
        <v>2521.9</v>
      </c>
      <c r="T10" s="938">
        <f>'Haver Pivoted'!HE27</f>
        <v>2490.1</v>
      </c>
      <c r="U10" s="938">
        <f>'Haver Pivoted'!HF27</f>
        <v>2181</v>
      </c>
      <c r="V10" s="938">
        <f>'Haver Pivoted'!HG27</f>
        <v>2175.1</v>
      </c>
      <c r="W10" s="938">
        <f>'Haver Pivoted'!HH27</f>
        <v>2188.6999999999998</v>
      </c>
      <c r="X10" s="938">
        <f>'Haver Pivoted'!HI27</f>
        <v>2212.5</v>
      </c>
      <c r="Y10" s="875">
        <f>X10*(1+$K34-0.02)+Y11</f>
        <v>2382.2974528321174</v>
      </c>
      <c r="Z10" s="940">
        <f>Y10*(1.02)^0.25+Z11</f>
        <v>2394.1206320775409</v>
      </c>
      <c r="AA10" s="940">
        <f t="shared" ref="AA10:AB10" si="3">Z10*(1.02)^0.25+AA11</f>
        <v>2406.0024889525371</v>
      </c>
      <c r="AB10" s="940">
        <f t="shared" si="3"/>
        <v>2417.9433146701667</v>
      </c>
      <c r="AC10" s="875">
        <f>AB10*(1+$L34-0.02)+AC11</f>
        <v>2468.2412363556509</v>
      </c>
      <c r="AD10" s="940">
        <f>AC10*(1.02)^0.25+AD11</f>
        <v>2480.4909487178438</v>
      </c>
      <c r="AE10" s="940">
        <f t="shared" ref="AE10:AF10" si="4">AD10*(1.02)^0.25+AE11</f>
        <v>2492.8014555642817</v>
      </c>
      <c r="AF10" s="940">
        <f t="shared" si="4"/>
        <v>2505.1730586138301</v>
      </c>
      <c r="AG10" s="875">
        <f>AF10*(1+$M34-0.02)+AG11</f>
        <v>2557.2855285572919</v>
      </c>
      <c r="AH10" s="846"/>
      <c r="AI10" s="846"/>
      <c r="AJ10" s="846"/>
      <c r="AK10" s="846"/>
      <c r="AL10" s="846"/>
      <c r="AM10" s="846"/>
      <c r="AN10" s="846"/>
      <c r="AO10" s="846"/>
      <c r="AU10" s="686"/>
      <c r="AV10" s="686"/>
      <c r="AW10" s="686"/>
      <c r="AX10" s="686"/>
      <c r="AY10" s="686"/>
      <c r="AZ10" s="686"/>
      <c r="BA10" s="686"/>
      <c r="BB10" s="686"/>
      <c r="BC10" s="686"/>
    </row>
    <row r="11" spans="4:56" x14ac:dyDescent="0.25">
      <c r="D11" s="516" t="s">
        <v>1761</v>
      </c>
      <c r="E11" s="52"/>
      <c r="F11" s="790"/>
      <c r="G11" s="790"/>
      <c r="H11" s="790"/>
      <c r="I11" s="790"/>
      <c r="J11" s="790"/>
      <c r="K11" s="790"/>
      <c r="L11" s="790"/>
      <c r="M11" s="790"/>
      <c r="N11" s="790"/>
      <c r="O11" s="790"/>
      <c r="P11" s="790"/>
      <c r="Q11" s="790"/>
      <c r="R11" s="790"/>
      <c r="S11" s="878"/>
      <c r="T11" s="878">
        <v>46</v>
      </c>
      <c r="U11" s="878">
        <v>-5</v>
      </c>
      <c r="V11" s="878">
        <v>12</v>
      </c>
      <c r="W11" s="878">
        <v>67</v>
      </c>
      <c r="X11" s="878">
        <v>7</v>
      </c>
      <c r="Y11" s="786">
        <v>-205</v>
      </c>
      <c r="Z11" s="786">
        <v>0</v>
      </c>
      <c r="AA11" s="786">
        <v>0</v>
      </c>
      <c r="AB11" s="786">
        <v>0</v>
      </c>
      <c r="AC11" s="786">
        <v>0</v>
      </c>
      <c r="AD11" s="786">
        <v>0</v>
      </c>
      <c r="AE11" s="786">
        <v>0</v>
      </c>
      <c r="AF11" s="786">
        <v>0</v>
      </c>
      <c r="AG11" s="786">
        <v>0</v>
      </c>
      <c r="AH11" s="846"/>
      <c r="AI11" s="846"/>
      <c r="AJ11" s="846"/>
      <c r="AK11" s="846"/>
      <c r="AL11" s="846"/>
      <c r="AM11" s="846"/>
      <c r="AN11" s="846"/>
      <c r="AO11" s="846"/>
      <c r="AU11" s="686"/>
      <c r="AV11" s="686"/>
      <c r="AW11" s="686"/>
      <c r="AX11" s="686"/>
      <c r="AY11" s="686"/>
      <c r="AZ11" s="686"/>
      <c r="BA11" s="686"/>
      <c r="BB11" s="686"/>
      <c r="BC11" s="686"/>
    </row>
    <row r="12" spans="4:56" x14ac:dyDescent="0.25">
      <c r="D12" s="516" t="s">
        <v>483</v>
      </c>
      <c r="E12" s="49" t="s">
        <v>121</v>
      </c>
      <c r="F12" s="880">
        <f>'Haver Pivoted'!GQ30</f>
        <v>1403.3</v>
      </c>
      <c r="G12" s="880">
        <f>'Haver Pivoted'!GR30</f>
        <v>1410</v>
      </c>
      <c r="H12" s="880">
        <f>'Haver Pivoted'!GS30</f>
        <v>1427.9</v>
      </c>
      <c r="I12" s="880">
        <f>'Haver Pivoted'!GT30</f>
        <v>1453.3</v>
      </c>
      <c r="J12" s="880">
        <f>'Haver Pivoted'!GU30</f>
        <v>1383.5</v>
      </c>
      <c r="K12" s="880">
        <f>'Haver Pivoted'!GV30</f>
        <v>1432.5</v>
      </c>
      <c r="L12" s="880">
        <f>'Haver Pivoted'!GW30</f>
        <v>1469</v>
      </c>
      <c r="M12" s="880">
        <f>'Haver Pivoted'!GX30</f>
        <v>1484.6</v>
      </c>
      <c r="N12" s="880">
        <f>'Haver Pivoted'!GY30</f>
        <v>1519.7</v>
      </c>
      <c r="O12" s="880">
        <f>'Haver Pivoted'!GZ30</f>
        <v>1556.8</v>
      </c>
      <c r="P12" s="880">
        <f>'Haver Pivoted'!HA30</f>
        <v>1603.4</v>
      </c>
      <c r="Q12" s="880">
        <f>'Haver Pivoted'!HB30</f>
        <v>1645.9</v>
      </c>
      <c r="R12" s="880">
        <f>'Haver Pivoted'!HC30</f>
        <v>1667.8</v>
      </c>
      <c r="S12" s="880">
        <f>'Haver Pivoted'!HD30</f>
        <v>1709.6</v>
      </c>
      <c r="T12" s="938">
        <f>'Haver Pivoted'!HE30</f>
        <v>1716.7</v>
      </c>
      <c r="U12" s="938">
        <f>'Haver Pivoted'!HF30</f>
        <v>1758.5</v>
      </c>
      <c r="V12" s="938">
        <f>'Haver Pivoted'!HG30</f>
        <v>1778.7</v>
      </c>
      <c r="W12" s="938">
        <f>'Haver Pivoted'!HH30</f>
        <v>1801.4</v>
      </c>
      <c r="X12" s="938">
        <f>'Haver Pivoted'!HI30</f>
        <v>1818.5</v>
      </c>
      <c r="Y12" s="940">
        <f>X12*(1+$K36)^0.25+Y13</f>
        <v>1853.1430929545902</v>
      </c>
      <c r="Z12" s="940">
        <f>Y12*(1+$K36)^0.25+Z13</f>
        <v>1867.04609184122</v>
      </c>
      <c r="AA12" s="940">
        <f>Z12*(1+$K36)^0.25+AA13</f>
        <v>1881.05339642274</v>
      </c>
      <c r="AB12" s="940">
        <f t="shared" ref="AB12:AG12" si="5">AA12*(1+$L36)^0.25+AB13</f>
        <v>1900.8017069386306</v>
      </c>
      <c r="AC12" s="940">
        <f t="shared" si="5"/>
        <v>1920.7573458424201</v>
      </c>
      <c r="AD12" s="940">
        <f t="shared" si="5"/>
        <v>1940.9224897790623</v>
      </c>
      <c r="AE12" s="940">
        <f t="shared" si="5"/>
        <v>1961.2993382451004</v>
      </c>
      <c r="AF12" s="940">
        <f t="shared" si="5"/>
        <v>1981.890113828576</v>
      </c>
      <c r="AG12" s="940">
        <f t="shared" si="5"/>
        <v>2002.6970624514554</v>
      </c>
      <c r="AH12" s="846"/>
      <c r="AI12" s="846"/>
      <c r="AJ12" s="846"/>
      <c r="AK12" s="846"/>
      <c r="AL12" s="846"/>
      <c r="AM12" s="846"/>
      <c r="AN12" s="846"/>
      <c r="AO12" s="846"/>
      <c r="AU12" s="686"/>
      <c r="AV12" s="686"/>
      <c r="AW12" s="686"/>
      <c r="AX12" s="686"/>
      <c r="AY12" s="686"/>
      <c r="AZ12" s="686"/>
      <c r="BA12" s="686"/>
      <c r="BB12" s="686"/>
      <c r="BC12" s="686"/>
    </row>
    <row r="13" spans="4:56" x14ac:dyDescent="0.25">
      <c r="D13" s="516" t="s">
        <v>1742</v>
      </c>
      <c r="E13" s="49"/>
      <c r="F13" s="790"/>
      <c r="G13" s="790"/>
      <c r="H13" s="790"/>
      <c r="I13" s="790"/>
      <c r="J13" s="790"/>
      <c r="K13" s="790"/>
      <c r="L13" s="790"/>
      <c r="M13" s="790"/>
      <c r="N13" s="790"/>
      <c r="O13" s="790"/>
      <c r="P13" s="790"/>
      <c r="Q13" s="790"/>
      <c r="R13" s="790"/>
      <c r="S13" s="790"/>
      <c r="T13" s="878"/>
      <c r="U13" s="878">
        <v>8</v>
      </c>
      <c r="V13" s="878">
        <v>-10</v>
      </c>
      <c r="W13" s="878">
        <v>-5</v>
      </c>
      <c r="X13" s="878">
        <v>-6</v>
      </c>
      <c r="Y13" s="786">
        <v>21</v>
      </c>
      <c r="Z13" s="786"/>
      <c r="AA13" s="786"/>
      <c r="AB13" s="786"/>
      <c r="AC13" s="786"/>
      <c r="AD13" s="786"/>
      <c r="AE13" s="786"/>
      <c r="AF13" s="786"/>
      <c r="AG13" s="786"/>
      <c r="AH13" s="846"/>
      <c r="AI13" s="846"/>
      <c r="AJ13" s="846"/>
      <c r="AK13" s="846"/>
      <c r="AL13" s="846"/>
      <c r="AM13" s="846"/>
      <c r="AN13" s="846"/>
      <c r="AO13" s="846"/>
      <c r="AU13" s="686"/>
      <c r="AV13" s="686"/>
      <c r="AW13" s="686"/>
      <c r="AX13" s="686"/>
      <c r="AY13" s="686"/>
      <c r="AZ13" s="686"/>
      <c r="BA13" s="686"/>
      <c r="BB13" s="686"/>
      <c r="BC13" s="686"/>
    </row>
    <row r="14" spans="4:56" x14ac:dyDescent="0.25">
      <c r="D14" s="516" t="s">
        <v>484</v>
      </c>
      <c r="E14" s="52" t="s">
        <v>117</v>
      </c>
      <c r="F14" s="880">
        <f>'Haver Pivoted'!GQ28</f>
        <v>170.4</v>
      </c>
      <c r="G14" s="880">
        <f>'Haver Pivoted'!GR28</f>
        <v>177.8</v>
      </c>
      <c r="H14" s="880">
        <f>'Haver Pivoted'!GS28</f>
        <v>177.7</v>
      </c>
      <c r="I14" s="880">
        <f>'Haver Pivoted'!GT28</f>
        <v>183.2</v>
      </c>
      <c r="J14" s="880">
        <f>'Haver Pivoted'!GU28</f>
        <v>130.4</v>
      </c>
      <c r="K14" s="880">
        <f>'Haver Pivoted'!GV28</f>
        <v>150.1</v>
      </c>
      <c r="L14" s="880">
        <f>'Haver Pivoted'!GW28</f>
        <v>157.80000000000001</v>
      </c>
      <c r="M14" s="880">
        <f>'Haver Pivoted'!GX28</f>
        <v>160.9</v>
      </c>
      <c r="N14" s="880">
        <f>'Haver Pivoted'!GY28</f>
        <v>180.5</v>
      </c>
      <c r="O14" s="880">
        <f>'Haver Pivoted'!GZ28</f>
        <v>182.1</v>
      </c>
      <c r="P14" s="880">
        <f>'Haver Pivoted'!HA28</f>
        <v>191</v>
      </c>
      <c r="Q14" s="880">
        <f>'Haver Pivoted'!HB28</f>
        <v>200.9</v>
      </c>
      <c r="R14" s="880">
        <f>'Haver Pivoted'!HC28</f>
        <v>202.8</v>
      </c>
      <c r="S14" s="880">
        <f>'Haver Pivoted'!HD28</f>
        <v>192.2</v>
      </c>
      <c r="T14" s="938">
        <f>'Haver Pivoted'!HE28</f>
        <v>180.9</v>
      </c>
      <c r="U14" s="938">
        <f>'Haver Pivoted'!HF28</f>
        <v>177</v>
      </c>
      <c r="V14" s="938">
        <f>'Haver Pivoted'!HG28</f>
        <v>175.4</v>
      </c>
      <c r="W14" s="938">
        <f>'Haver Pivoted'!HH28</f>
        <v>171.6</v>
      </c>
      <c r="X14" s="938">
        <f>'Haver Pivoted'!HI28</f>
        <v>169.6</v>
      </c>
      <c r="Y14" s="940">
        <f>X14*(1+$K37)^0.25</f>
        <v>171.88988796073721</v>
      </c>
      <c r="Z14" s="940">
        <f>Y14*(1+$K37)^0.25</f>
        <v>174.21069329690326</v>
      </c>
      <c r="AA14" s="940">
        <f>Z14*(1+$K37)^0.25</f>
        <v>176.56283344556047</v>
      </c>
      <c r="AB14" s="940">
        <f t="shared" ref="AB14:AG14" si="6">AA14*(1+$L37)^0.25</f>
        <v>179.32201754068291</v>
      </c>
      <c r="AC14" s="940">
        <f t="shared" si="6"/>
        <v>182.12431997912941</v>
      </c>
      <c r="AD14" s="940">
        <f t="shared" si="6"/>
        <v>184.97041458021283</v>
      </c>
      <c r="AE14" s="940">
        <f t="shared" si="6"/>
        <v>187.86098569316047</v>
      </c>
      <c r="AF14" s="940">
        <f t="shared" si="6"/>
        <v>190.79672836166725</v>
      </c>
      <c r="AG14" s="940">
        <f t="shared" si="6"/>
        <v>193.77834849102038</v>
      </c>
      <c r="AH14" s="846"/>
      <c r="AI14" s="846"/>
      <c r="AJ14" s="846"/>
      <c r="AK14" s="846"/>
      <c r="AL14" s="846"/>
      <c r="AM14" s="846"/>
      <c r="AN14" s="846"/>
      <c r="AO14" s="846"/>
      <c r="AU14" s="686"/>
      <c r="AV14" s="686"/>
      <c r="AW14" s="686"/>
      <c r="AX14" s="686"/>
      <c r="AY14" s="686"/>
      <c r="AZ14" s="686"/>
      <c r="BA14" s="686"/>
      <c r="BB14" s="686"/>
      <c r="BC14" s="686"/>
    </row>
    <row r="15" spans="4:56" x14ac:dyDescent="0.25">
      <c r="D15" s="915" t="s">
        <v>1435</v>
      </c>
      <c r="E15" s="916"/>
      <c r="F15" s="791"/>
      <c r="G15" s="790"/>
      <c r="H15" s="790"/>
      <c r="I15" s="790"/>
      <c r="J15" s="790"/>
      <c r="K15" s="790"/>
      <c r="L15" s="790"/>
      <c r="M15" s="790"/>
      <c r="N15" s="790"/>
      <c r="O15" s="790"/>
      <c r="P15" s="790"/>
      <c r="Q15" s="790"/>
      <c r="R15" s="790"/>
      <c r="S15" s="878"/>
      <c r="T15" s="878"/>
      <c r="U15" s="878">
        <v>0</v>
      </c>
      <c r="V15" s="878">
        <v>0</v>
      </c>
      <c r="W15" s="878">
        <v>0</v>
      </c>
      <c r="X15" s="878">
        <v>0</v>
      </c>
      <c r="Y15" s="786">
        <v>0</v>
      </c>
      <c r="Z15" s="786">
        <v>0</v>
      </c>
      <c r="AA15" s="786">
        <v>0</v>
      </c>
      <c r="AB15" s="786">
        <v>0</v>
      </c>
      <c r="AC15" s="786">
        <v>0</v>
      </c>
      <c r="AD15" s="786">
        <v>1</v>
      </c>
      <c r="AE15" s="786">
        <v>2</v>
      </c>
      <c r="AF15" s="786">
        <v>3</v>
      </c>
      <c r="AG15" s="786">
        <v>4</v>
      </c>
      <c r="AH15" s="846"/>
      <c r="AI15" s="846"/>
      <c r="AJ15" s="846"/>
      <c r="AK15" s="846"/>
      <c r="AL15" s="846"/>
      <c r="AM15" s="846"/>
      <c r="AN15" s="846"/>
      <c r="AO15" s="846"/>
      <c r="AU15" s="686"/>
      <c r="AV15" s="686"/>
      <c r="AW15" s="686"/>
      <c r="AX15" s="686"/>
      <c r="AY15" s="686"/>
      <c r="AZ15" s="686"/>
      <c r="BA15" s="686"/>
      <c r="BB15" s="686"/>
      <c r="BC15" s="686"/>
    </row>
    <row r="16" spans="4:56" ht="14.85" customHeight="1" x14ac:dyDescent="0.25">
      <c r="D16" s="412" t="s">
        <v>1914</v>
      </c>
      <c r="E16" s="908" t="s">
        <v>119</v>
      </c>
      <c r="F16" s="775">
        <f>'Haver Pivoted'!GQ29</f>
        <v>210.4</v>
      </c>
      <c r="G16" s="879">
        <f>'Haver Pivoted'!GR29</f>
        <v>198.2</v>
      </c>
      <c r="H16" s="879">
        <f>'Haver Pivoted'!GS29</f>
        <v>233.1</v>
      </c>
      <c r="I16" s="879">
        <f>'Haver Pivoted'!GT29</f>
        <v>189.6</v>
      </c>
      <c r="J16" s="879">
        <f>'Haver Pivoted'!GU29</f>
        <v>199.8</v>
      </c>
      <c r="K16" s="879">
        <f>'Haver Pivoted'!GV29</f>
        <v>246.8</v>
      </c>
      <c r="L16" s="879">
        <f>'Haver Pivoted'!GW29</f>
        <v>250.9</v>
      </c>
      <c r="M16" s="879">
        <f>'Haver Pivoted'!GX29</f>
        <v>252.3</v>
      </c>
      <c r="N16" s="879">
        <f>'Haver Pivoted'!GY29</f>
        <v>283.60000000000002</v>
      </c>
      <c r="O16" s="879">
        <f>'Haver Pivoted'!GZ29</f>
        <v>279.8</v>
      </c>
      <c r="P16" s="879">
        <f>'Haver Pivoted'!HA29</f>
        <v>303.89999999999998</v>
      </c>
      <c r="Q16" s="879">
        <f>'Haver Pivoted'!HB29</f>
        <v>329.8</v>
      </c>
      <c r="R16" s="879">
        <f>'Haver Pivoted'!HC29</f>
        <v>388.8</v>
      </c>
      <c r="S16" s="879">
        <f>'Haver Pivoted'!HD29</f>
        <v>383.6</v>
      </c>
      <c r="T16" s="871">
        <f>'Haver Pivoted'!HE29</f>
        <v>373.6</v>
      </c>
      <c r="U16" s="871">
        <f>'Haver Pivoted'!HF29</f>
        <v>388.6</v>
      </c>
      <c r="V16" s="871">
        <f>'Haver Pivoted'!HG29</f>
        <v>403.3</v>
      </c>
      <c r="W16" s="871">
        <f>'Haver Pivoted'!HH29</f>
        <v>418</v>
      </c>
      <c r="X16" s="940">
        <f>W16*(1+$K38)^0.25</f>
        <v>427.63194290122209</v>
      </c>
      <c r="Y16" s="940">
        <f>X16*(1+$K38)^0.25</f>
        <v>437.48583394611023</v>
      </c>
      <c r="Z16" s="940">
        <f>Y16*(1+$K38)^0.25</f>
        <v>447.5667874692262</v>
      </c>
      <c r="AA16" s="940">
        <f>Z16*(1+$K38)^0.25</f>
        <v>457.88003565436259</v>
      </c>
      <c r="AB16" s="940">
        <f t="shared" ref="AB16:AG16" si="7">AA16*(1+$L38)^0.25</f>
        <v>466.64560814573349</v>
      </c>
      <c r="AC16" s="940">
        <f t="shared" si="7"/>
        <v>475.57898716964229</v>
      </c>
      <c r="AD16" s="940">
        <f t="shared" si="7"/>
        <v>484.68338518396206</v>
      </c>
      <c r="AE16" s="940">
        <f t="shared" si="7"/>
        <v>493.96207614527782</v>
      </c>
      <c r="AF16" s="940">
        <f t="shared" si="7"/>
        <v>503.41839668620651</v>
      </c>
      <c r="AG16" s="940">
        <f t="shared" si="7"/>
        <v>513.05574731525576</v>
      </c>
      <c r="AH16" s="846"/>
      <c r="AI16" s="846"/>
      <c r="AJ16" s="846"/>
      <c r="AK16" s="846"/>
      <c r="AL16" s="846"/>
      <c r="AM16" s="846"/>
      <c r="AN16" s="846"/>
      <c r="AO16" s="846"/>
      <c r="AU16" s="925"/>
      <c r="AV16" s="925"/>
      <c r="AW16" s="925"/>
      <c r="AX16" s="925"/>
      <c r="AY16" s="925"/>
      <c r="AZ16" s="925"/>
      <c r="BA16" s="925"/>
      <c r="BB16" s="925"/>
      <c r="BC16" s="925"/>
    </row>
    <row r="17" spans="4:55" ht="14.85" customHeight="1" x14ac:dyDescent="0.25">
      <c r="D17" s="412"/>
      <c r="E17" s="908"/>
      <c r="F17" s="775"/>
      <c r="G17" s="879"/>
      <c r="H17" s="879"/>
      <c r="I17" s="879"/>
      <c r="J17" s="879"/>
      <c r="K17" s="879"/>
      <c r="L17" s="879"/>
      <c r="M17" s="879"/>
      <c r="N17" s="879"/>
      <c r="O17" s="879"/>
      <c r="P17" s="879"/>
      <c r="Q17" s="879"/>
      <c r="R17" s="879"/>
      <c r="S17" s="879"/>
      <c r="T17" s="879"/>
      <c r="U17" s="879"/>
      <c r="V17" s="879"/>
      <c r="W17" s="879"/>
      <c r="X17" s="935"/>
      <c r="Y17" s="935"/>
      <c r="Z17" s="935"/>
      <c r="AA17" s="935"/>
      <c r="AB17" s="935"/>
      <c r="AC17" s="935"/>
      <c r="AD17" s="935"/>
      <c r="AE17" s="935"/>
      <c r="AF17" s="935"/>
      <c r="AG17" s="935"/>
      <c r="AH17" s="846"/>
      <c r="AI17" s="846"/>
      <c r="AJ17" s="846"/>
      <c r="AK17" s="846"/>
      <c r="AL17" s="846"/>
      <c r="AM17" s="846"/>
      <c r="AN17" s="846"/>
      <c r="AO17" s="846"/>
      <c r="AU17" s="925"/>
      <c r="AV17" s="925"/>
      <c r="AW17" s="925"/>
      <c r="AX17" s="925"/>
      <c r="AY17" s="925"/>
      <c r="AZ17" s="925"/>
      <c r="BA17" s="925"/>
      <c r="BB17" s="925"/>
      <c r="BC17" s="925"/>
    </row>
    <row r="18" spans="4:55" x14ac:dyDescent="0.25">
      <c r="D18" s="785" t="s">
        <v>473</v>
      </c>
      <c r="E18" s="405"/>
      <c r="F18" s="964"/>
      <c r="G18" s="955"/>
      <c r="H18" s="955"/>
      <c r="I18" s="955"/>
      <c r="J18" s="955"/>
      <c r="K18" s="955"/>
      <c r="L18" s="955"/>
      <c r="M18" s="955"/>
      <c r="N18" s="955"/>
      <c r="O18" s="955"/>
      <c r="P18" s="955"/>
      <c r="Q18" s="955"/>
      <c r="R18" s="955"/>
      <c r="S18" s="955"/>
      <c r="T18" s="955"/>
      <c r="U18" s="788"/>
      <c r="V18" s="955"/>
      <c r="W18" s="955"/>
      <c r="X18" s="955"/>
      <c r="Y18" s="955"/>
      <c r="Z18" s="955"/>
      <c r="AA18" s="955"/>
      <c r="AB18" s="955"/>
      <c r="AC18" s="955"/>
      <c r="AF18" s="846"/>
      <c r="AG18" s="846"/>
      <c r="AH18" s="846"/>
      <c r="AI18" s="846"/>
      <c r="AJ18" s="846"/>
      <c r="AK18" s="846"/>
      <c r="AL18" s="846"/>
      <c r="AM18" s="846"/>
      <c r="AN18" s="846"/>
      <c r="AO18" s="846"/>
    </row>
    <row r="19" spans="4:55" ht="14.85" customHeight="1" x14ac:dyDescent="0.25">
      <c r="D19" s="923" t="s">
        <v>481</v>
      </c>
      <c r="E19" s="909"/>
      <c r="F19" s="775">
        <f t="shared" ref="F19:P19" si="8">SUM(F21:F24)</f>
        <v>1902.6999999999998</v>
      </c>
      <c r="G19" s="879">
        <f t="shared" si="8"/>
        <v>1892.4</v>
      </c>
      <c r="H19" s="879">
        <f t="shared" si="8"/>
        <v>1884.5</v>
      </c>
      <c r="I19" s="879">
        <f t="shared" si="8"/>
        <v>1887.9</v>
      </c>
      <c r="J19" s="879">
        <f t="shared" si="8"/>
        <v>1790.3</v>
      </c>
      <c r="K19" s="879">
        <f t="shared" si="8"/>
        <v>1921.1</v>
      </c>
      <c r="L19" s="879">
        <f t="shared" si="8"/>
        <v>1953.6</v>
      </c>
      <c r="M19" s="879">
        <f t="shared" si="8"/>
        <v>2006.3</v>
      </c>
      <c r="N19" s="879">
        <f t="shared" si="8"/>
        <v>2102.1999999999998</v>
      </c>
      <c r="O19" s="879">
        <f t="shared" si="8"/>
        <v>2115.6999999999998</v>
      </c>
      <c r="P19" s="879">
        <f t="shared" si="8"/>
        <v>2213.6999999999998</v>
      </c>
      <c r="Q19" s="879">
        <f>SUM(Q20:Q24)</f>
        <v>2261.8999999999996</v>
      </c>
      <c r="R19" s="879">
        <f t="shared" ref="R19:T19" si="9">SUM(R20:R24)</f>
        <v>2287.3000000000002</v>
      </c>
      <c r="S19" s="879">
        <f t="shared" si="9"/>
        <v>2269.4</v>
      </c>
      <c r="T19" s="879">
        <f t="shared" si="9"/>
        <v>2267.1999999999998</v>
      </c>
      <c r="U19" s="879">
        <f>SUM(U21:U24)</f>
        <v>2258.3000000000002</v>
      </c>
      <c r="V19" s="879">
        <f>SUM(V20:V24)</f>
        <v>2196.4</v>
      </c>
      <c r="W19" s="879">
        <f>SUM(W20,W21,W23,W24)</f>
        <v>2257.6999999999998</v>
      </c>
      <c r="X19" s="879">
        <f>SUM(X20,X21,X23,X24)</f>
        <v>2293</v>
      </c>
      <c r="Y19" s="942">
        <f t="shared" ref="Y19:AG19" si="10">SUM(Y20,Y21,Y23,Y24)</f>
        <v>2316.1686297255928</v>
      </c>
      <c r="Z19" s="942">
        <f t="shared" si="10"/>
        <v>2337.5883974330204</v>
      </c>
      <c r="AA19" s="942">
        <f t="shared" si="10"/>
        <v>2360.0841674105036</v>
      </c>
      <c r="AB19" s="942">
        <f t="shared" si="10"/>
        <v>2383.5993279660834</v>
      </c>
      <c r="AC19" s="942">
        <f t="shared" si="10"/>
        <v>2409.1352607529634</v>
      </c>
      <c r="AD19" s="942">
        <f t="shared" si="10"/>
        <v>2434.5961435104973</v>
      </c>
      <c r="AE19" s="942">
        <f t="shared" si="10"/>
        <v>2459.8496169390455</v>
      </c>
      <c r="AF19" s="942">
        <f t="shared" si="10"/>
        <v>2485.6390474771665</v>
      </c>
      <c r="AG19" s="942">
        <f t="shared" si="10"/>
        <v>2509.5344853097204</v>
      </c>
      <c r="AH19" s="846"/>
      <c r="AI19" s="846"/>
      <c r="AJ19" s="846"/>
      <c r="AK19" s="846"/>
      <c r="AL19" s="846"/>
      <c r="AM19" s="846"/>
      <c r="AN19" s="846"/>
      <c r="AO19" s="846"/>
    </row>
    <row r="20" spans="4:55" ht="42" customHeight="1" x14ac:dyDescent="0.25">
      <c r="D20" s="919" t="s">
        <v>830</v>
      </c>
      <c r="E20" s="909"/>
      <c r="F20" s="775"/>
      <c r="G20" s="879"/>
      <c r="H20" s="879"/>
      <c r="I20" s="879"/>
      <c r="J20" s="879"/>
      <c r="K20" s="879"/>
      <c r="L20" s="879"/>
      <c r="M20" s="879"/>
      <c r="N20" s="879"/>
      <c r="O20" s="879"/>
      <c r="P20" s="879"/>
      <c r="Q20" s="389"/>
      <c r="R20" s="389"/>
      <c r="S20" s="389"/>
      <c r="T20" s="389"/>
      <c r="U20" s="389">
        <v>0</v>
      </c>
      <c r="V20" s="389"/>
      <c r="W20" s="389"/>
      <c r="X20" s="389"/>
      <c r="Y20" s="333"/>
      <c r="Z20" s="333"/>
      <c r="AA20" s="333"/>
      <c r="AB20" s="333"/>
      <c r="AC20" s="333"/>
      <c r="AD20" s="333"/>
      <c r="AE20" s="333"/>
      <c r="AF20" s="333"/>
      <c r="AG20" s="333"/>
      <c r="AH20" s="846"/>
      <c r="AI20" s="846"/>
      <c r="AJ20" s="846"/>
      <c r="AK20" s="846"/>
      <c r="AL20" s="846"/>
      <c r="AM20" s="846"/>
      <c r="AN20" s="846"/>
      <c r="AO20" s="846"/>
    </row>
    <row r="21" spans="4:55" x14ac:dyDescent="0.25">
      <c r="D21" s="516" t="s">
        <v>486</v>
      </c>
      <c r="E21" s="49" t="s">
        <v>487</v>
      </c>
      <c r="F21" s="851">
        <f>'Haver Pivoted'!GQ33</f>
        <v>533.1</v>
      </c>
      <c r="G21" s="880">
        <f>'Haver Pivoted'!GR33</f>
        <v>497.6</v>
      </c>
      <c r="H21" s="880">
        <f>'Haver Pivoted'!GS33</f>
        <v>488</v>
      </c>
      <c r="I21" s="880">
        <f>'Haver Pivoted'!GT33</f>
        <v>488.2</v>
      </c>
      <c r="J21" s="880">
        <f>'Haver Pivoted'!GU33</f>
        <v>480.5</v>
      </c>
      <c r="K21" s="880">
        <f>'Haver Pivoted'!GV33</f>
        <v>515.5</v>
      </c>
      <c r="L21" s="880">
        <f>'Haver Pivoted'!GW33</f>
        <v>527.9</v>
      </c>
      <c r="M21" s="880">
        <f>'Haver Pivoted'!GX33</f>
        <v>564.20000000000005</v>
      </c>
      <c r="N21" s="880">
        <f>'Haver Pivoted'!GY33</f>
        <v>585.6</v>
      </c>
      <c r="O21" s="880">
        <f>'Haver Pivoted'!GZ33</f>
        <v>589.79999999999995</v>
      </c>
      <c r="P21" s="880">
        <f>'Haver Pivoted'!HA33</f>
        <v>636.29999999999995</v>
      </c>
      <c r="Q21" s="880">
        <f>'Haver Pivoted'!HB33</f>
        <v>655.9</v>
      </c>
      <c r="R21" s="880">
        <f>'Haver Pivoted'!HC33</f>
        <v>655.1</v>
      </c>
      <c r="S21" s="880">
        <f>'Haver Pivoted'!HD33</f>
        <v>615.20000000000005</v>
      </c>
      <c r="T21" s="938">
        <f>'Haver Pivoted'!HE33</f>
        <v>605.6</v>
      </c>
      <c r="U21" s="938">
        <f>'Haver Pivoted'!HF33</f>
        <v>582.70000000000005</v>
      </c>
      <c r="V21" s="938">
        <f>'Haver Pivoted'!HG33</f>
        <v>528.79999999999995</v>
      </c>
      <c r="W21" s="938">
        <f>'Haver Pivoted'!HH33</f>
        <v>576.6</v>
      </c>
      <c r="X21" s="938">
        <f>'Haver Pivoted'!HI33</f>
        <v>592.6</v>
      </c>
      <c r="Y21" s="943">
        <f t="shared" ref="Y21:AG21" si="11">$U128*Y137*(Y110/$U110)+Y20+Y22</f>
        <v>603.43360458405903</v>
      </c>
      <c r="Z21" s="943">
        <f t="shared" si="11"/>
        <v>611.11361067790403</v>
      </c>
      <c r="AA21" s="943">
        <f t="shared" si="11"/>
        <v>618.01892126290545</v>
      </c>
      <c r="AB21" s="943">
        <f t="shared" si="11"/>
        <v>625.25897682086395</v>
      </c>
      <c r="AC21" s="943">
        <f t="shared" si="11"/>
        <v>632.57873356285995</v>
      </c>
      <c r="AD21" s="943">
        <f t="shared" si="11"/>
        <v>640.09933728863018</v>
      </c>
      <c r="AE21" s="943">
        <f t="shared" si="11"/>
        <v>647.44141036215683</v>
      </c>
      <c r="AF21" s="943">
        <f t="shared" si="11"/>
        <v>654.93013361431213</v>
      </c>
      <c r="AG21" s="943">
        <f t="shared" si="11"/>
        <v>662.76316598150891</v>
      </c>
      <c r="AH21" s="846"/>
      <c r="AI21" s="846"/>
      <c r="AJ21" s="846"/>
      <c r="AK21" s="846"/>
      <c r="AL21" s="846"/>
      <c r="AM21" s="846"/>
      <c r="AN21" s="846"/>
      <c r="AO21" s="846"/>
    </row>
    <row r="22" spans="4:55" x14ac:dyDescent="0.25">
      <c r="D22" s="516" t="s">
        <v>1927</v>
      </c>
      <c r="E22" s="49"/>
      <c r="F22" s="851"/>
      <c r="G22" s="880"/>
      <c r="H22" s="880"/>
      <c r="I22" s="880"/>
      <c r="J22" s="880"/>
      <c r="K22" s="880"/>
      <c r="L22" s="880"/>
      <c r="M22" s="880"/>
      <c r="N22" s="880"/>
      <c r="O22" s="880"/>
      <c r="P22" s="880"/>
      <c r="Q22" s="880"/>
      <c r="R22" s="880"/>
      <c r="S22" s="880"/>
      <c r="T22" s="938"/>
      <c r="U22" s="938"/>
      <c r="V22" s="938"/>
      <c r="W22" s="880">
        <v>20</v>
      </c>
      <c r="X22" s="880">
        <v>20</v>
      </c>
      <c r="Y22" s="943">
        <v>0</v>
      </c>
      <c r="Z22" s="943">
        <v>0</v>
      </c>
      <c r="AA22" s="943">
        <v>0</v>
      </c>
      <c r="AB22" s="943">
        <v>0</v>
      </c>
      <c r="AC22" s="943">
        <v>0</v>
      </c>
      <c r="AD22" s="943">
        <v>0</v>
      </c>
      <c r="AE22" s="943">
        <v>0</v>
      </c>
      <c r="AF22" s="943">
        <v>0</v>
      </c>
      <c r="AG22" s="943">
        <v>0</v>
      </c>
      <c r="AH22" s="846"/>
      <c r="AI22" s="846"/>
      <c r="AJ22" s="846"/>
      <c r="AK22" s="846"/>
      <c r="AL22" s="846"/>
      <c r="AM22" s="846"/>
      <c r="AN22" s="846"/>
      <c r="AO22" s="846"/>
    </row>
    <row r="23" spans="4:55" x14ac:dyDescent="0.25">
      <c r="D23" s="516" t="s">
        <v>483</v>
      </c>
      <c r="E23" s="49" t="s">
        <v>488</v>
      </c>
      <c r="F23" s="851">
        <f>'Haver Pivoted'!GQ36</f>
        <v>20.8</v>
      </c>
      <c r="G23" s="880">
        <f>'Haver Pivoted'!GR36</f>
        <v>20.6</v>
      </c>
      <c r="H23" s="880">
        <f>'Haver Pivoted'!GS36</f>
        <v>20.399999999999999</v>
      </c>
      <c r="I23" s="880">
        <f>'Haver Pivoted'!GT36</f>
        <v>20.3</v>
      </c>
      <c r="J23" s="880">
        <f>'Haver Pivoted'!GU36</f>
        <v>19.3</v>
      </c>
      <c r="K23" s="880">
        <f>'Haver Pivoted'!GV36</f>
        <v>19.899999999999999</v>
      </c>
      <c r="L23" s="880">
        <f>'Haver Pivoted'!GW36</f>
        <v>20.7</v>
      </c>
      <c r="M23" s="880">
        <f>'Haver Pivoted'!GX36</f>
        <v>21.3</v>
      </c>
      <c r="N23" s="880">
        <f>'Haver Pivoted'!GY36</f>
        <v>22</v>
      </c>
      <c r="O23" s="880">
        <f>'Haver Pivoted'!GZ36</f>
        <v>22.6</v>
      </c>
      <c r="P23" s="880">
        <f>'Haver Pivoted'!HA36</f>
        <v>22.9</v>
      </c>
      <c r="Q23" s="880">
        <f>'Haver Pivoted'!HB36</f>
        <v>22.9</v>
      </c>
      <c r="R23" s="880">
        <f>'Haver Pivoted'!HC36</f>
        <v>22.6</v>
      </c>
      <c r="S23" s="880">
        <f>'Haver Pivoted'!HD36</f>
        <v>22.4</v>
      </c>
      <c r="T23" s="938">
        <f>'Haver Pivoted'!HE36</f>
        <v>22</v>
      </c>
      <c r="U23" s="938">
        <f>'Haver Pivoted'!HF36</f>
        <v>21.5</v>
      </c>
      <c r="V23" s="938">
        <f>'Haver Pivoted'!HG36</f>
        <v>21.4</v>
      </c>
      <c r="W23" s="938">
        <f>'Haver Pivoted'!HH36</f>
        <v>21.9</v>
      </c>
      <c r="X23" s="938">
        <f>'Haver Pivoted'!HI36</f>
        <v>22.8</v>
      </c>
      <c r="Y23" s="943">
        <f t="shared" ref="Y23:AC23" si="12">$U129*Y138*(Y111/$U111)</f>
        <v>23.010574587725944</v>
      </c>
      <c r="Z23" s="943">
        <f t="shared" si="12"/>
        <v>23.27773898753081</v>
      </c>
      <c r="AA23" s="943">
        <f t="shared" si="12"/>
        <v>23.550768894696834</v>
      </c>
      <c r="AB23" s="943">
        <f t="shared" si="12"/>
        <v>23.825501691096736</v>
      </c>
      <c r="AC23" s="943">
        <f t="shared" si="12"/>
        <v>24.098910018092511</v>
      </c>
      <c r="AD23" s="943">
        <f t="shared" ref="AD23:AG23" si="13">$U129*AD138*(AD111/$U111)</f>
        <v>24.371372295513908</v>
      </c>
      <c r="AE23" s="943">
        <f t="shared" si="13"/>
        <v>24.641564053956785</v>
      </c>
      <c r="AF23" s="943">
        <f t="shared" si="13"/>
        <v>24.910809762825288</v>
      </c>
      <c r="AG23" s="943">
        <f t="shared" si="13"/>
        <v>25.176838903140897</v>
      </c>
      <c r="AH23" s="846"/>
      <c r="AI23" s="846"/>
      <c r="AJ23" s="846"/>
      <c r="AK23" s="846"/>
      <c r="AL23" s="846"/>
      <c r="AM23" s="846"/>
      <c r="AN23" s="846"/>
      <c r="AO23" s="846"/>
    </row>
    <row r="24" spans="4:55" x14ac:dyDescent="0.25">
      <c r="D24" s="516" t="s">
        <v>484</v>
      </c>
      <c r="E24" s="49" t="s">
        <v>489</v>
      </c>
      <c r="F24" s="851">
        <f>'Haver Pivoted'!GQ34</f>
        <v>1348.8</v>
      </c>
      <c r="G24" s="880">
        <f>'Haver Pivoted'!GR34</f>
        <v>1374.2</v>
      </c>
      <c r="H24" s="880">
        <f>'Haver Pivoted'!GS34</f>
        <v>1376.1</v>
      </c>
      <c r="I24" s="880">
        <f>'Haver Pivoted'!GT34</f>
        <v>1379.4</v>
      </c>
      <c r="J24" s="880">
        <f>'Haver Pivoted'!GU34</f>
        <v>1290.5</v>
      </c>
      <c r="K24" s="880">
        <f>'Haver Pivoted'!GV34</f>
        <v>1385.7</v>
      </c>
      <c r="L24" s="880">
        <f>'Haver Pivoted'!GW34</f>
        <v>1405</v>
      </c>
      <c r="M24" s="880">
        <f>'Haver Pivoted'!GX34</f>
        <v>1420.8</v>
      </c>
      <c r="N24" s="880">
        <f>'Haver Pivoted'!GY34</f>
        <v>1494.6</v>
      </c>
      <c r="O24" s="880">
        <f>'Haver Pivoted'!GZ34</f>
        <v>1503.3</v>
      </c>
      <c r="P24" s="880">
        <f>'Haver Pivoted'!HA34</f>
        <v>1554.5</v>
      </c>
      <c r="Q24" s="880">
        <f>'Haver Pivoted'!HB34</f>
        <v>1583.1</v>
      </c>
      <c r="R24" s="880">
        <f>'Haver Pivoted'!HC34</f>
        <v>1609.6</v>
      </c>
      <c r="S24" s="880">
        <f>'Haver Pivoted'!HD34</f>
        <v>1631.8</v>
      </c>
      <c r="T24" s="938">
        <f>'Haver Pivoted'!HE34</f>
        <v>1639.6</v>
      </c>
      <c r="U24" s="938">
        <f>'Haver Pivoted'!HF34</f>
        <v>1654.1</v>
      </c>
      <c r="V24" s="938">
        <f>'Haver Pivoted'!HG34</f>
        <v>1646.2</v>
      </c>
      <c r="W24" s="938">
        <f>'Haver Pivoted'!HH34</f>
        <v>1659.2</v>
      </c>
      <c r="X24" s="938">
        <f>'Haver Pivoted'!HI34</f>
        <v>1677.6</v>
      </c>
      <c r="Y24" s="943">
        <f t="shared" ref="Y24:AC24" si="14">$U134*Y139*(Y113/$U113)</f>
        <v>1689.7244505538079</v>
      </c>
      <c r="Z24" s="943">
        <f t="shared" si="14"/>
        <v>1703.1970477675854</v>
      </c>
      <c r="AA24" s="943">
        <f t="shared" si="14"/>
        <v>1718.5144772529013</v>
      </c>
      <c r="AB24" s="943">
        <f t="shared" si="14"/>
        <v>1734.5148494541224</v>
      </c>
      <c r="AC24" s="943">
        <f t="shared" si="14"/>
        <v>1752.4576171720109</v>
      </c>
      <c r="AD24" s="943">
        <f t="shared" ref="AD24:AG24" si="15">$U134*AD139*(AD113/$U113)</f>
        <v>1770.125433926353</v>
      </c>
      <c r="AE24" s="943">
        <f t="shared" si="15"/>
        <v>1787.766642522932</v>
      </c>
      <c r="AF24" s="943">
        <f t="shared" si="15"/>
        <v>1805.7981041000291</v>
      </c>
      <c r="AG24" s="943">
        <f t="shared" si="15"/>
        <v>1821.5944804250707</v>
      </c>
      <c r="AH24" s="846"/>
      <c r="AI24" s="846"/>
      <c r="AJ24" s="846"/>
      <c r="AK24" s="846"/>
      <c r="AL24" s="846"/>
      <c r="AM24" s="846"/>
      <c r="AN24" s="846"/>
      <c r="AO24" s="846"/>
    </row>
    <row r="25" spans="4:55" ht="14.85" customHeight="1" x14ac:dyDescent="0.25">
      <c r="D25" s="926" t="s">
        <v>485</v>
      </c>
      <c r="E25" s="965" t="s">
        <v>490</v>
      </c>
      <c r="F25" s="776">
        <f>'Haver Pivoted'!GQ35</f>
        <v>74.7</v>
      </c>
      <c r="G25" s="794">
        <f>'Haver Pivoted'!GR35</f>
        <v>74.2</v>
      </c>
      <c r="H25" s="794">
        <f>'Haver Pivoted'!GS35</f>
        <v>71.7</v>
      </c>
      <c r="I25" s="794">
        <f>'Haver Pivoted'!GT35</f>
        <v>65.8</v>
      </c>
      <c r="J25" s="794">
        <f>'Haver Pivoted'!GU35</f>
        <v>63.7</v>
      </c>
      <c r="K25" s="794">
        <f>'Haver Pivoted'!GV35</f>
        <v>79.599999999999994</v>
      </c>
      <c r="L25" s="794">
        <f>'Haver Pivoted'!GW35</f>
        <v>82.3</v>
      </c>
      <c r="M25" s="794">
        <f>'Haver Pivoted'!GX35</f>
        <v>86.5</v>
      </c>
      <c r="N25" s="794">
        <f>'Haver Pivoted'!GY35</f>
        <v>95.3</v>
      </c>
      <c r="O25" s="794">
        <f>'Haver Pivoted'!GZ35</f>
        <v>111.7</v>
      </c>
      <c r="P25" s="794">
        <f>'Haver Pivoted'!HA35</f>
        <v>150.1</v>
      </c>
      <c r="Q25" s="794">
        <f>'Haver Pivoted'!HB35</f>
        <v>184.2</v>
      </c>
      <c r="R25" s="794">
        <f>'Haver Pivoted'!HC35</f>
        <v>143.5</v>
      </c>
      <c r="S25" s="794">
        <f>'Haver Pivoted'!HD35</f>
        <v>146.19999999999999</v>
      </c>
      <c r="T25" s="796">
        <f>'Haver Pivoted'!HE35</f>
        <v>160.5</v>
      </c>
      <c r="U25" s="941">
        <f>'Haver Pivoted'!HF35</f>
        <v>172.5</v>
      </c>
      <c r="V25" s="941">
        <f>'Haver Pivoted'!HG35</f>
        <v>150.69999999999999</v>
      </c>
      <c r="W25" s="941">
        <f>'Haver Pivoted'!HH35</f>
        <v>148.69999999999999</v>
      </c>
      <c r="X25" s="795">
        <f t="shared" ref="X25:AC25" si="16">$U135*X140*(X114/$U114)</f>
        <v>146.92064689245049</v>
      </c>
      <c r="Y25" s="795">
        <f t="shared" si="16"/>
        <v>148.03139458989045</v>
      </c>
      <c r="Z25" s="795">
        <f t="shared" si="16"/>
        <v>148.78627166582055</v>
      </c>
      <c r="AA25" s="795">
        <f t="shared" si="16"/>
        <v>149.10979041264773</v>
      </c>
      <c r="AB25" s="795">
        <f t="shared" si="16"/>
        <v>150.40386539995646</v>
      </c>
      <c r="AC25" s="795">
        <f t="shared" si="16"/>
        <v>151.04011893538325</v>
      </c>
      <c r="AD25" s="795">
        <f t="shared" ref="AD25:AG25" si="17">$U135*AD140*(AD114/$U114)</f>
        <v>152.31262600623683</v>
      </c>
      <c r="AE25" s="795">
        <f t="shared" si="17"/>
        <v>153.81159619986943</v>
      </c>
      <c r="AF25" s="795">
        <f t="shared" si="17"/>
        <v>155.66643701501195</v>
      </c>
      <c r="AG25" s="795">
        <f t="shared" si="17"/>
        <v>155.51006962071213</v>
      </c>
      <c r="AH25" s="846"/>
      <c r="AI25" s="846"/>
      <c r="AJ25" s="846"/>
      <c r="AK25" s="846"/>
      <c r="AL25" s="846"/>
      <c r="AM25" s="846"/>
      <c r="AN25" s="846"/>
      <c r="AO25" s="846"/>
    </row>
    <row r="26" spans="4:55" ht="14.85" customHeight="1" x14ac:dyDescent="0.25">
      <c r="D26" s="876" t="s">
        <v>1929</v>
      </c>
      <c r="E26" s="909"/>
      <c r="F26" s="551">
        <f t="shared" ref="F26:AG26" si="18">F9+F19</f>
        <v>5165.5</v>
      </c>
      <c r="G26" s="551">
        <f t="shared" si="18"/>
        <v>5180.5</v>
      </c>
      <c r="H26" s="551">
        <f t="shared" si="18"/>
        <v>5222.5</v>
      </c>
      <c r="I26" s="551">
        <f t="shared" si="18"/>
        <v>5292.2</v>
      </c>
      <c r="J26" s="551">
        <f t="shared" si="18"/>
        <v>4935.6000000000004</v>
      </c>
      <c r="K26" s="551">
        <f t="shared" si="18"/>
        <v>5251.6</v>
      </c>
      <c r="L26" s="551">
        <f t="shared" si="18"/>
        <v>5447.3</v>
      </c>
      <c r="M26" s="551">
        <f t="shared" si="18"/>
        <v>5665.2</v>
      </c>
      <c r="N26" s="551">
        <f t="shared" si="18"/>
        <v>5920.8</v>
      </c>
      <c r="O26" s="551">
        <f t="shared" si="18"/>
        <v>6054.6</v>
      </c>
      <c r="P26" s="551">
        <f t="shared" si="18"/>
        <v>6273.4</v>
      </c>
      <c r="Q26" s="551">
        <f t="shared" si="18"/>
        <v>6615.5999999999995</v>
      </c>
      <c r="R26" s="551">
        <f t="shared" si="18"/>
        <v>6660.5</v>
      </c>
      <c r="S26" s="551">
        <f t="shared" si="18"/>
        <v>6693.1</v>
      </c>
      <c r="T26" s="551">
        <f t="shared" si="18"/>
        <v>6654.9</v>
      </c>
      <c r="U26" s="551">
        <f t="shared" si="18"/>
        <v>6374.8</v>
      </c>
      <c r="V26" s="551">
        <f t="shared" si="18"/>
        <v>6325.6</v>
      </c>
      <c r="W26" s="551">
        <f t="shared" si="18"/>
        <v>6419.4</v>
      </c>
      <c r="X26" s="551">
        <f t="shared" si="18"/>
        <v>6493.6</v>
      </c>
      <c r="Y26" s="675">
        <f t="shared" si="18"/>
        <v>6723.4990634730375</v>
      </c>
      <c r="Z26" s="675">
        <f t="shared" si="18"/>
        <v>6772.9658146486854</v>
      </c>
      <c r="AA26" s="675">
        <f t="shared" si="18"/>
        <v>6823.7028862313418</v>
      </c>
      <c r="AB26" s="675">
        <f t="shared" si="18"/>
        <v>6881.6663671155638</v>
      </c>
      <c r="AC26" s="675">
        <f t="shared" si="18"/>
        <v>6980.258162930164</v>
      </c>
      <c r="AD26" s="675">
        <f t="shared" si="18"/>
        <v>7040.9799965876155</v>
      </c>
      <c r="AE26" s="675">
        <f t="shared" si="18"/>
        <v>7101.8113964415888</v>
      </c>
      <c r="AF26" s="675">
        <f t="shared" si="18"/>
        <v>7163.4989482812398</v>
      </c>
      <c r="AG26" s="675">
        <f t="shared" si="18"/>
        <v>7263.2954248094884</v>
      </c>
    </row>
    <row r="27" spans="4:55" ht="14.85" customHeight="1" x14ac:dyDescent="0.25">
      <c r="D27" s="876"/>
      <c r="E27" s="909"/>
      <c r="F27" s="551"/>
      <c r="G27" s="551"/>
      <c r="H27" s="551"/>
      <c r="I27" s="551"/>
      <c r="J27" s="551"/>
      <c r="K27" s="551"/>
      <c r="L27" s="551"/>
      <c r="M27" s="551"/>
      <c r="N27" s="551"/>
      <c r="O27" s="551"/>
      <c r="P27" s="551"/>
      <c r="Q27" s="551"/>
      <c r="R27" s="551"/>
      <c r="S27" s="551"/>
      <c r="T27" s="551"/>
      <c r="U27" s="551"/>
      <c r="V27" s="551"/>
      <c r="W27" s="551"/>
      <c r="X27" s="551"/>
      <c r="Y27" s="551"/>
      <c r="Z27" s="551"/>
      <c r="AA27" s="551"/>
      <c r="AB27" s="551"/>
      <c r="AC27" s="551"/>
      <c r="AD27" s="551"/>
      <c r="AE27" s="551"/>
      <c r="AF27" s="551"/>
      <c r="AG27" s="551"/>
    </row>
    <row r="28" spans="4:55" ht="14.85" customHeight="1" x14ac:dyDescent="0.25">
      <c r="D28" s="509"/>
      <c r="E28" s="182"/>
      <c r="F28" s="182"/>
      <c r="G28" s="182"/>
      <c r="H28" s="182"/>
      <c r="I28" s="182"/>
      <c r="J28" s="182"/>
      <c r="K28" s="182"/>
      <c r="L28" s="182"/>
      <c r="AH28" s="245"/>
      <c r="AI28" s="245"/>
      <c r="AJ28" s="245"/>
      <c r="AK28" s="245"/>
      <c r="AL28" s="245"/>
      <c r="AM28" s="245"/>
      <c r="AN28" s="245"/>
    </row>
    <row r="29" spans="4:55" ht="14.85" customHeight="1" x14ac:dyDescent="0.25">
      <c r="D29" s="1462" t="s">
        <v>923</v>
      </c>
      <c r="E29" s="1463"/>
      <c r="F29" s="1464"/>
      <c r="G29" s="489">
        <v>2020</v>
      </c>
      <c r="H29" s="489">
        <v>2021</v>
      </c>
      <c r="I29" s="488">
        <v>2022</v>
      </c>
      <c r="J29" s="967">
        <v>2023</v>
      </c>
      <c r="K29" s="967">
        <v>2024</v>
      </c>
      <c r="L29" s="968">
        <v>2025</v>
      </c>
      <c r="M29" s="873">
        <v>2026</v>
      </c>
      <c r="AH29" s="245"/>
      <c r="AI29" s="245"/>
      <c r="AJ29" s="245"/>
      <c r="AK29" s="245"/>
      <c r="AL29" s="245"/>
      <c r="AM29" s="245"/>
      <c r="AN29" s="245"/>
    </row>
    <row r="30" spans="4:55" ht="14.85" customHeight="1" x14ac:dyDescent="0.25">
      <c r="D30" s="918" t="s">
        <v>491</v>
      </c>
      <c r="E30" s="269"/>
      <c r="F30" s="957"/>
      <c r="G30" s="917">
        <f>AVERAGE(H10:K10)</f>
        <v>1719.875</v>
      </c>
      <c r="H30" s="212">
        <f>AVERAGE(L10:O10)</f>
        <v>2049.6750000000002</v>
      </c>
      <c r="I30" s="212">
        <f>AVERAGE(P10:S10)</f>
        <v>2449.1750000000002</v>
      </c>
      <c r="J30" s="212">
        <f t="shared" ref="J30:L32" si="19">I30*J64/I64</f>
        <v>2025.1858667265676</v>
      </c>
      <c r="K30" s="212">
        <f t="shared" si="19"/>
        <v>2297.3708040400516</v>
      </c>
      <c r="L30" s="351">
        <f t="shared" si="19"/>
        <v>2345.1605830985764</v>
      </c>
      <c r="M30" t="s">
        <v>906</v>
      </c>
    </row>
    <row r="31" spans="4:55" ht="14.85" customHeight="1" x14ac:dyDescent="0.25">
      <c r="D31" s="956" t="s">
        <v>497</v>
      </c>
      <c r="E31" s="216"/>
      <c r="F31" s="568"/>
      <c r="G31" s="917">
        <f>AVERAGE(H12:K12)</f>
        <v>1424.3</v>
      </c>
      <c r="H31" s="212">
        <f>AVERAGE(L12:O12)</f>
        <v>1507.5250000000001</v>
      </c>
      <c r="I31" s="212">
        <f>AVERAGE(P12:S12)</f>
        <v>1656.6750000000002</v>
      </c>
      <c r="J31" s="212">
        <f t="shared" si="19"/>
        <v>1802.8841964684138</v>
      </c>
      <c r="K31" s="212">
        <f t="shared" si="19"/>
        <v>1857.5998569792509</v>
      </c>
      <c r="L31" s="351">
        <f t="shared" si="19"/>
        <v>1936.8452682662792</v>
      </c>
    </row>
    <row r="32" spans="4:55" ht="14.85" customHeight="1" x14ac:dyDescent="0.25">
      <c r="D32" s="956" t="s">
        <v>105</v>
      </c>
      <c r="E32" s="216"/>
      <c r="F32" s="568"/>
      <c r="G32" s="917">
        <f>AVERAGE(H14:K14)</f>
        <v>160.35</v>
      </c>
      <c r="H32" s="212">
        <f>AVERAGE(L14:O14)</f>
        <v>170.32500000000002</v>
      </c>
      <c r="I32" s="212">
        <f>AVERAGE(P14:S14)</f>
        <v>196.72500000000002</v>
      </c>
      <c r="J32" s="212">
        <f t="shared" si="19"/>
        <v>163.38743736702131</v>
      </c>
      <c r="K32" s="212">
        <f t="shared" si="19"/>
        <v>172.39179175531913</v>
      </c>
      <c r="L32" s="351">
        <f t="shared" si="19"/>
        <v>183.42304148936171</v>
      </c>
    </row>
    <row r="33" spans="3:14" ht="14.85" customHeight="1" x14ac:dyDescent="0.25">
      <c r="D33" s="956" t="s">
        <v>258</v>
      </c>
      <c r="E33" s="216"/>
      <c r="F33" s="568"/>
      <c r="G33" s="917">
        <f>AVERAGE(H16:K16)</f>
        <v>217.32499999999999</v>
      </c>
      <c r="H33" s="212">
        <f>AVERAGE(L16:O16)</f>
        <v>266.65000000000003</v>
      </c>
      <c r="I33" s="212">
        <f>AVERAGE(P16:S16)</f>
        <v>351.52499999999998</v>
      </c>
      <c r="J33" s="212">
        <f>I33*J69/I69</f>
        <v>347.15396959519092</v>
      </c>
      <c r="K33" s="212">
        <f>J33*K69/J69</f>
        <v>470.53484543398281</v>
      </c>
      <c r="L33" s="351">
        <f>K33*L69/K69</f>
        <v>408.80179762137323</v>
      </c>
    </row>
    <row r="34" spans="3:14" ht="14.85" customHeight="1" x14ac:dyDescent="0.25">
      <c r="C34" s="35"/>
      <c r="D34" s="956" t="s">
        <v>919</v>
      </c>
      <c r="E34" s="35"/>
      <c r="F34" s="624"/>
      <c r="G34" s="222"/>
      <c r="H34" s="855">
        <f>H30/G30-1+0.021</f>
        <v>0.21275812195653762</v>
      </c>
      <c r="I34" s="855">
        <f>I30/H30-1.05</f>
        <v>0.14490894897971618</v>
      </c>
      <c r="J34" s="855">
        <f>J30/I30-1</f>
        <v>-0.17311508294565825</v>
      </c>
      <c r="K34" s="855">
        <f>K30/J30-1+K35</f>
        <v>0.18939997868118313</v>
      </c>
      <c r="L34" s="855">
        <f>L30/K30-1+L35</f>
        <v>4.0801944106926044E-2</v>
      </c>
      <c r="M34" s="874">
        <f>L34</f>
        <v>4.0801944106926044E-2</v>
      </c>
      <c r="N34" t="s">
        <v>905</v>
      </c>
    </row>
    <row r="35" spans="3:14" ht="14.85" customHeight="1" x14ac:dyDescent="0.25">
      <c r="C35" s="35"/>
      <c r="D35" s="956" t="s">
        <v>1928</v>
      </c>
      <c r="E35" s="35"/>
      <c r="F35" s="624"/>
      <c r="G35" s="222"/>
      <c r="H35" s="855"/>
      <c r="I35" s="855"/>
      <c r="J35" s="855"/>
      <c r="K35" s="855">
        <v>5.5E-2</v>
      </c>
      <c r="L35" s="856">
        <v>0.02</v>
      </c>
    </row>
    <row r="36" spans="3:14" ht="14.85" customHeight="1" x14ac:dyDescent="0.25">
      <c r="C36" s="35"/>
      <c r="D36" s="956" t="s">
        <v>920</v>
      </c>
      <c r="E36" s="35"/>
      <c r="F36" s="624"/>
      <c r="G36" s="222"/>
      <c r="H36" s="855">
        <f>H31/G31-1.03</f>
        <v>2.8432212314821292E-2</v>
      </c>
      <c r="I36" s="855">
        <f>I31/H31-1.013</f>
        <v>8.5936999386411639E-2</v>
      </c>
      <c r="J36" s="882">
        <f>J31/I31-1</f>
        <v>8.8254604233427569E-2</v>
      </c>
      <c r="K36" s="855">
        <f>K31/J31-1</f>
        <v>3.0348960081860499E-2</v>
      </c>
      <c r="L36" s="856">
        <f>L31/K31-1</f>
        <v>4.266010841317236E-2</v>
      </c>
      <c r="M36" t="s">
        <v>907</v>
      </c>
    </row>
    <row r="37" spans="3:14" ht="14.85" customHeight="1" x14ac:dyDescent="0.25">
      <c r="C37" s="35"/>
      <c r="D37" s="956" t="s">
        <v>921</v>
      </c>
      <c r="E37" s="35"/>
      <c r="F37" s="624"/>
      <c r="G37" s="222"/>
      <c r="H37" s="855">
        <f>H32/G32-1</f>
        <v>6.2207670720299424E-2</v>
      </c>
      <c r="I37" s="855">
        <f>I32/H32-1.01</f>
        <v>0.14499779832672832</v>
      </c>
      <c r="J37" s="855">
        <f>J32/I32-1</f>
        <v>-0.1694627659574468</v>
      </c>
      <c r="K37" s="855">
        <f t="shared" ref="K37" si="20">K32/J32-1</f>
        <v>5.5110445046464118E-2</v>
      </c>
      <c r="L37" s="856">
        <f>L32/K32-1</f>
        <v>6.3989414007016965E-2</v>
      </c>
    </row>
    <row r="38" spans="3:14" ht="14.85" customHeight="1" x14ac:dyDescent="0.25">
      <c r="C38" s="35"/>
      <c r="D38" s="883" t="s">
        <v>922</v>
      </c>
      <c r="E38" s="36"/>
      <c r="F38" s="419"/>
      <c r="G38" s="345"/>
      <c r="H38" s="884">
        <f>H33/G33-1</f>
        <v>0.22696422408834716</v>
      </c>
      <c r="I38" s="884">
        <f>I33/H33-1.103</f>
        <v>0.21530114382148868</v>
      </c>
      <c r="J38" s="884">
        <f>J33/I33-1</f>
        <v>-1.2434479495936457E-2</v>
      </c>
      <c r="K38" s="884">
        <f>K33/J33-1-0.26</f>
        <v>9.54067838621111E-2</v>
      </c>
      <c r="L38" s="885">
        <f>L33/K33-1+0.21</f>
        <v>7.880238857619129E-2</v>
      </c>
    </row>
    <row r="39" spans="3:14" ht="14.85" customHeight="1" x14ac:dyDescent="0.25">
      <c r="D39" s="914"/>
      <c r="E39" s="909"/>
      <c r="F39" s="933"/>
      <c r="G39" s="933"/>
      <c r="H39" s="879"/>
      <c r="I39" s="879"/>
      <c r="J39" s="879"/>
      <c r="K39" s="879"/>
      <c r="L39" s="879"/>
    </row>
    <row r="40" spans="3:14" ht="14.85" customHeight="1" x14ac:dyDescent="0.25">
      <c r="D40" s="1462" t="s">
        <v>923</v>
      </c>
      <c r="E40" s="1463"/>
      <c r="F40" s="1464"/>
      <c r="G40" s="489">
        <v>2020</v>
      </c>
      <c r="H40" s="489">
        <v>2021</v>
      </c>
      <c r="I40" s="488">
        <v>2022</v>
      </c>
      <c r="J40" s="967">
        <v>2023</v>
      </c>
      <c r="K40" s="967">
        <v>2024</v>
      </c>
      <c r="L40" s="968">
        <v>2025</v>
      </c>
      <c r="M40" t="s">
        <v>1965</v>
      </c>
    </row>
    <row r="41" spans="3:14" ht="14.85" customHeight="1" x14ac:dyDescent="0.25">
      <c r="D41" s="918" t="s">
        <v>491</v>
      </c>
      <c r="E41" s="291"/>
      <c r="F41" s="957"/>
      <c r="G41" s="917">
        <v>1719.875</v>
      </c>
      <c r="H41" s="212">
        <v>2049.6750000000002</v>
      </c>
      <c r="I41" s="212">
        <v>2449.1750000000002</v>
      </c>
      <c r="J41" s="212">
        <v>2349.3384668207868</v>
      </c>
      <c r="K41" s="212">
        <v>2302.616886094801</v>
      </c>
      <c r="L41" s="757">
        <v>2341.8927150289969</v>
      </c>
    </row>
    <row r="42" spans="3:14" ht="14.85" customHeight="1" x14ac:dyDescent="0.25">
      <c r="D42" s="956" t="s">
        <v>497</v>
      </c>
      <c r="E42" s="216"/>
      <c r="F42" s="541"/>
      <c r="G42" s="917">
        <v>1424.3</v>
      </c>
      <c r="H42" s="212">
        <v>1507.5250000000001</v>
      </c>
      <c r="I42" s="212">
        <v>1656.6750000000002</v>
      </c>
      <c r="J42" s="212">
        <v>1744.6520019871577</v>
      </c>
      <c r="K42" s="212">
        <v>1823.5043297690775</v>
      </c>
      <c r="L42" s="757">
        <v>1901.535872391182</v>
      </c>
    </row>
    <row r="43" spans="3:14" ht="14.85" customHeight="1" x14ac:dyDescent="0.25">
      <c r="D43" s="956" t="s">
        <v>105</v>
      </c>
      <c r="E43" s="216"/>
      <c r="F43" s="541"/>
      <c r="G43" s="917">
        <v>160.35</v>
      </c>
      <c r="H43" s="212">
        <v>170.32500000000002</v>
      </c>
      <c r="I43" s="212">
        <v>196.72500000000002</v>
      </c>
      <c r="J43" s="212">
        <v>198.8178191489362</v>
      </c>
      <c r="K43" s="212">
        <v>207.18909574468088</v>
      </c>
      <c r="L43" s="757">
        <v>207.18909574468088</v>
      </c>
    </row>
    <row r="44" spans="3:14" ht="14.85" customHeight="1" x14ac:dyDescent="0.25">
      <c r="D44" s="956" t="s">
        <v>258</v>
      </c>
      <c r="E44" s="216"/>
      <c r="F44" s="541"/>
      <c r="G44" s="917">
        <v>217.32499999999999</v>
      </c>
      <c r="H44" s="212">
        <v>266.65000000000003</v>
      </c>
      <c r="I44" s="212">
        <v>351.52499999999998</v>
      </c>
      <c r="J44" s="212">
        <v>393.31827254176011</v>
      </c>
      <c r="K44" s="212">
        <v>395.91375283323953</v>
      </c>
      <c r="L44" s="757">
        <v>404.24874437176805</v>
      </c>
    </row>
    <row r="45" spans="3:14" ht="14.85" customHeight="1" x14ac:dyDescent="0.25">
      <c r="D45" s="956" t="s">
        <v>919</v>
      </c>
      <c r="E45" s="35"/>
      <c r="F45" s="758"/>
      <c r="G45" s="222"/>
      <c r="H45" s="855">
        <v>0.21275812195653762</v>
      </c>
      <c r="I45" s="855">
        <v>0.14490894897971618</v>
      </c>
      <c r="J45" s="855">
        <v>-4.0763331807328274E-2</v>
      </c>
      <c r="K45" s="855">
        <v>3.5112877992752041E-2</v>
      </c>
      <c r="L45" s="855">
        <v>3.7057040262050242E-2</v>
      </c>
    </row>
    <row r="46" spans="3:14" ht="14.85" customHeight="1" x14ac:dyDescent="0.25">
      <c r="D46" s="956" t="s">
        <v>1928</v>
      </c>
      <c r="E46" s="35"/>
      <c r="F46" s="758"/>
      <c r="G46" s="222"/>
      <c r="H46" s="855"/>
      <c r="I46" s="855"/>
      <c r="J46" s="855"/>
      <c r="K46" s="855">
        <v>5.5E-2</v>
      </c>
      <c r="L46" s="759">
        <v>0.02</v>
      </c>
    </row>
    <row r="47" spans="3:14" ht="14.85" customHeight="1" x14ac:dyDescent="0.25">
      <c r="D47" s="956" t="s">
        <v>920</v>
      </c>
      <c r="E47" s="35"/>
      <c r="F47" s="758"/>
      <c r="G47" s="222"/>
      <c r="H47" s="855">
        <v>2.8432212314821292E-2</v>
      </c>
      <c r="I47" s="855">
        <v>8.5936999386411639E-2</v>
      </c>
      <c r="J47" s="882">
        <v>5.3104563047765785E-2</v>
      </c>
      <c r="K47" s="855">
        <v>4.5196593757441006E-2</v>
      </c>
      <c r="L47" s="759">
        <v>4.2792079705117114E-2</v>
      </c>
    </row>
    <row r="48" spans="3:14" ht="14.85" customHeight="1" x14ac:dyDescent="0.25">
      <c r="D48" s="956" t="s">
        <v>921</v>
      </c>
      <c r="E48" s="35"/>
      <c r="F48" s="758"/>
      <c r="G48" s="222"/>
      <c r="H48" s="855">
        <v>6.2207670720299424E-2</v>
      </c>
      <c r="I48" s="855">
        <v>0.14499779832672832</v>
      </c>
      <c r="J48" s="855">
        <v>1.0638297872340496E-2</v>
      </c>
      <c r="K48" s="855">
        <v>4.2105263157894868E-2</v>
      </c>
      <c r="L48" s="759">
        <v>0</v>
      </c>
    </row>
    <row r="49" spans="4:40" ht="14.85" customHeight="1" x14ac:dyDescent="0.25">
      <c r="D49" s="883" t="s">
        <v>922</v>
      </c>
      <c r="E49" s="36"/>
      <c r="F49" s="419"/>
      <c r="G49" s="345"/>
      <c r="H49" s="884">
        <v>0.22696422408834716</v>
      </c>
      <c r="I49" s="884">
        <v>0.21530114382148868</v>
      </c>
      <c r="J49" s="884">
        <v>0.11889132363775023</v>
      </c>
      <c r="K49" s="884">
        <v>6.5989313812107042E-3</v>
      </c>
      <c r="L49" s="885">
        <v>2.1052543587793071E-2</v>
      </c>
    </row>
    <row r="50" spans="4:40" ht="14.85" customHeight="1" x14ac:dyDescent="0.25">
      <c r="D50" s="914"/>
      <c r="E50" s="909"/>
      <c r="F50" s="933"/>
      <c r="G50" s="933"/>
      <c r="H50" s="879"/>
      <c r="I50" s="879"/>
      <c r="J50" s="879"/>
      <c r="K50" s="879"/>
      <c r="L50" s="879"/>
    </row>
    <row r="51" spans="4:40" ht="14.85" customHeight="1" x14ac:dyDescent="0.25">
      <c r="D51" s="914"/>
      <c r="E51" s="909"/>
      <c r="F51" s="1465" t="s">
        <v>280</v>
      </c>
      <c r="G51" s="1466"/>
      <c r="H51" s="1466"/>
      <c r="I51" s="1466"/>
      <c r="J51" s="1466"/>
      <c r="K51" s="1466"/>
      <c r="L51" s="1466"/>
      <c r="M51" s="1466"/>
      <c r="N51" s="1466"/>
      <c r="O51" s="1466"/>
      <c r="P51" s="1466"/>
      <c r="Q51" s="1466"/>
      <c r="R51" s="1466"/>
      <c r="S51" s="1466"/>
      <c r="T51" s="1466"/>
      <c r="U51" s="1466"/>
      <c r="V51" s="1467"/>
      <c r="W51" s="1390" t="s">
        <v>281</v>
      </c>
      <c r="X51" s="1391"/>
      <c r="Y51" s="1391"/>
      <c r="Z51" s="1391"/>
      <c r="AA51" s="1391"/>
      <c r="AB51" s="1391"/>
      <c r="AC51" s="1391"/>
      <c r="AD51" s="1391"/>
      <c r="AE51" s="1391"/>
      <c r="AF51" s="1391"/>
      <c r="AG51" s="1391"/>
    </row>
    <row r="52" spans="4:40" ht="14.85" customHeight="1" x14ac:dyDescent="0.25">
      <c r="D52" s="914"/>
      <c r="E52" s="909"/>
      <c r="F52" s="1359">
        <v>2019</v>
      </c>
      <c r="G52" s="1360"/>
      <c r="H52" s="1361"/>
      <c r="I52" s="1360">
        <v>2020</v>
      </c>
      <c r="J52" s="1360"/>
      <c r="K52" s="1360"/>
      <c r="L52" s="1360"/>
      <c r="M52" s="1371">
        <v>2021</v>
      </c>
      <c r="N52" s="1372"/>
      <c r="O52" s="1372"/>
      <c r="P52" s="1372"/>
      <c r="Q52" s="1371">
        <v>2022</v>
      </c>
      <c r="R52" s="1403"/>
      <c r="S52" s="1403"/>
      <c r="T52" s="1373"/>
      <c r="U52" s="270"/>
      <c r="V52" s="270">
        <v>2023</v>
      </c>
      <c r="W52" s="552"/>
      <c r="X52" s="242"/>
      <c r="Y52" s="1368">
        <v>2024</v>
      </c>
      <c r="Z52" s="1381"/>
      <c r="AA52" s="1381"/>
      <c r="AB52" s="1370"/>
      <c r="AC52" s="1368">
        <v>2025</v>
      </c>
      <c r="AD52" s="1381"/>
      <c r="AE52" s="1381"/>
      <c r="AF52" s="1370"/>
      <c r="AG52" s="498">
        <v>2026</v>
      </c>
    </row>
    <row r="53" spans="4:40" ht="14.85" customHeight="1" x14ac:dyDescent="0.25">
      <c r="D53" s="914"/>
      <c r="E53" s="909"/>
      <c r="F53" s="195" t="s">
        <v>284</v>
      </c>
      <c r="G53" s="196" t="s">
        <v>238</v>
      </c>
      <c r="H53" s="197" t="s">
        <v>282</v>
      </c>
      <c r="I53" s="196" t="s">
        <v>283</v>
      </c>
      <c r="J53" s="196" t="s">
        <v>284</v>
      </c>
      <c r="K53" s="196" t="s">
        <v>238</v>
      </c>
      <c r="L53" s="196" t="s">
        <v>282</v>
      </c>
      <c r="M53" s="195" t="s">
        <v>283</v>
      </c>
      <c r="N53" s="196" t="s">
        <v>284</v>
      </c>
      <c r="O53" s="196" t="s">
        <v>238</v>
      </c>
      <c r="P53" s="196" t="s">
        <v>282</v>
      </c>
      <c r="Q53" s="195" t="s">
        <v>283</v>
      </c>
      <c r="R53" s="196" t="s">
        <v>284</v>
      </c>
      <c r="S53" s="196" t="s">
        <v>238</v>
      </c>
      <c r="T53" s="197" t="s">
        <v>282</v>
      </c>
      <c r="U53" s="196" t="s">
        <v>283</v>
      </c>
      <c r="V53" s="268" t="s">
        <v>284</v>
      </c>
      <c r="W53" s="312" t="s">
        <v>238</v>
      </c>
      <c r="X53" s="420" t="s">
        <v>282</v>
      </c>
      <c r="Y53" s="421" t="s">
        <v>283</v>
      </c>
      <c r="Z53" s="320" t="s">
        <v>284</v>
      </c>
      <c r="AA53" s="312" t="s">
        <v>238</v>
      </c>
      <c r="AB53" s="312" t="s">
        <v>282</v>
      </c>
      <c r="AC53" s="251" t="s">
        <v>283</v>
      </c>
      <c r="AD53" s="249" t="s">
        <v>284</v>
      </c>
      <c r="AE53" s="252" t="s">
        <v>238</v>
      </c>
      <c r="AF53" s="252" t="s">
        <v>282</v>
      </c>
      <c r="AG53" s="251" t="s">
        <v>283</v>
      </c>
    </row>
    <row r="54" spans="4:40" ht="14.85" customHeight="1" x14ac:dyDescent="0.25">
      <c r="D54" s="956" t="s">
        <v>919</v>
      </c>
      <c r="E54" s="909"/>
      <c r="F54" s="933"/>
      <c r="G54" s="933"/>
      <c r="H54" s="879"/>
      <c r="I54" s="879"/>
      <c r="J54" s="879"/>
      <c r="K54" s="879"/>
      <c r="L54" s="879"/>
    </row>
    <row r="55" spans="4:40" ht="14.85" customHeight="1" x14ac:dyDescent="0.25">
      <c r="D55" s="956" t="s">
        <v>1928</v>
      </c>
      <c r="E55" s="909"/>
      <c r="F55" s="933"/>
      <c r="G55" s="933"/>
      <c r="H55" s="879"/>
      <c r="I55" s="879"/>
      <c r="J55" s="879"/>
      <c r="K55" s="879"/>
      <c r="L55" s="879"/>
      <c r="M55" s="874">
        <f>H34</f>
        <v>0.21275812195653762</v>
      </c>
      <c r="N55" s="874">
        <f>H34</f>
        <v>0.21275812195653762</v>
      </c>
      <c r="O55" s="874">
        <f>H34</f>
        <v>0.21275812195653762</v>
      </c>
      <c r="P55" s="874">
        <f>H34</f>
        <v>0.21275812195653762</v>
      </c>
      <c r="Q55" s="874">
        <f>I34</f>
        <v>0.14490894897971618</v>
      </c>
      <c r="R55" s="874">
        <f>I34</f>
        <v>0.14490894897971618</v>
      </c>
      <c r="S55" s="874">
        <f>I34</f>
        <v>0.14490894897971618</v>
      </c>
      <c r="T55" s="874">
        <f>I34</f>
        <v>0.14490894897971618</v>
      </c>
      <c r="U55" s="874">
        <f>J34</f>
        <v>-0.17311508294565825</v>
      </c>
      <c r="V55" s="874">
        <f>J34</f>
        <v>-0.17311508294565825</v>
      </c>
      <c r="W55" s="874">
        <f>J34</f>
        <v>-0.17311508294565825</v>
      </c>
      <c r="X55" s="874">
        <f>J34</f>
        <v>-0.17311508294565825</v>
      </c>
      <c r="Y55" s="874">
        <f>K34</f>
        <v>0.18939997868118313</v>
      </c>
      <c r="Z55" s="874">
        <f>K34</f>
        <v>0.18939997868118313</v>
      </c>
      <c r="AA55" s="874">
        <f>K34</f>
        <v>0.18939997868118313</v>
      </c>
      <c r="AB55" s="874">
        <f t="shared" ref="AB55:AC59" si="21">K34</f>
        <v>0.18939997868118313</v>
      </c>
      <c r="AC55" s="874">
        <f t="shared" si="21"/>
        <v>4.0801944106926044E-2</v>
      </c>
      <c r="AD55" s="874">
        <f>L34</f>
        <v>4.0801944106926044E-2</v>
      </c>
      <c r="AE55" s="874">
        <f>L34</f>
        <v>4.0801944106926044E-2</v>
      </c>
      <c r="AF55" s="874">
        <f>L34</f>
        <v>4.0801944106926044E-2</v>
      </c>
      <c r="AG55" s="874">
        <f>L34</f>
        <v>4.0801944106926044E-2</v>
      </c>
    </row>
    <row r="56" spans="4:40" ht="14.85" customHeight="1" x14ac:dyDescent="0.25">
      <c r="D56" s="956" t="s">
        <v>920</v>
      </c>
      <c r="E56" s="909"/>
      <c r="F56" s="933"/>
      <c r="G56" s="933"/>
      <c r="H56" s="879"/>
      <c r="I56" s="879"/>
      <c r="J56" s="879"/>
      <c r="K56" s="879"/>
      <c r="L56" s="879"/>
      <c r="Y56" s="874">
        <f>K35</f>
        <v>5.5E-2</v>
      </c>
      <c r="Z56" s="874">
        <f>K35</f>
        <v>5.5E-2</v>
      </c>
      <c r="AA56" s="874">
        <f>K35</f>
        <v>5.5E-2</v>
      </c>
      <c r="AB56" s="874">
        <f t="shared" si="21"/>
        <v>5.5E-2</v>
      </c>
      <c r="AC56" s="874">
        <f t="shared" si="21"/>
        <v>0.02</v>
      </c>
      <c r="AD56" s="874">
        <f>L35</f>
        <v>0.02</v>
      </c>
      <c r="AE56" s="874">
        <f>L35</f>
        <v>0.02</v>
      </c>
      <c r="AF56" s="874">
        <f>L35</f>
        <v>0.02</v>
      </c>
      <c r="AG56" s="874">
        <f>L35</f>
        <v>0.02</v>
      </c>
    </row>
    <row r="57" spans="4:40" ht="14.85" customHeight="1" x14ac:dyDescent="0.25">
      <c r="D57" s="956" t="s">
        <v>921</v>
      </c>
      <c r="E57" s="909"/>
      <c r="F57" s="933"/>
      <c r="G57" s="933"/>
      <c r="H57" s="879"/>
      <c r="I57" s="879"/>
      <c r="J57" s="879"/>
      <c r="K57" s="879"/>
      <c r="L57" s="879"/>
      <c r="M57" s="874">
        <f>H36</f>
        <v>2.8432212314821292E-2</v>
      </c>
      <c r="N57" s="874">
        <f>H36</f>
        <v>2.8432212314821292E-2</v>
      </c>
      <c r="O57" s="72">
        <f>H36</f>
        <v>2.8432212314821292E-2</v>
      </c>
      <c r="P57" s="874">
        <f t="shared" ref="P57:Q59" si="22">H36</f>
        <v>2.8432212314821292E-2</v>
      </c>
      <c r="Q57" s="874">
        <f t="shared" si="22"/>
        <v>8.5936999386411639E-2</v>
      </c>
      <c r="R57" s="874">
        <f>I36</f>
        <v>8.5936999386411639E-2</v>
      </c>
      <c r="S57" s="874">
        <f>I36</f>
        <v>8.5936999386411639E-2</v>
      </c>
      <c r="T57" s="874">
        <f t="shared" ref="T57:U59" si="23">I36</f>
        <v>8.5936999386411639E-2</v>
      </c>
      <c r="U57" s="72">
        <f t="shared" si="23"/>
        <v>8.8254604233427569E-2</v>
      </c>
      <c r="V57" s="72">
        <f>J36</f>
        <v>8.8254604233427569E-2</v>
      </c>
      <c r="W57" s="72">
        <f>J36</f>
        <v>8.8254604233427569E-2</v>
      </c>
      <c r="X57" s="72">
        <f>J36</f>
        <v>8.8254604233427569E-2</v>
      </c>
      <c r="Y57" s="874">
        <f>K36</f>
        <v>3.0348960081860499E-2</v>
      </c>
      <c r="Z57" s="874">
        <f>K36</f>
        <v>3.0348960081860499E-2</v>
      </c>
      <c r="AA57" s="874">
        <f>K36</f>
        <v>3.0348960081860499E-2</v>
      </c>
      <c r="AB57" s="874">
        <f t="shared" si="21"/>
        <v>3.0348960081860499E-2</v>
      </c>
      <c r="AC57" s="874">
        <f t="shared" si="21"/>
        <v>4.266010841317236E-2</v>
      </c>
      <c r="AD57" s="874">
        <f>L36</f>
        <v>4.266010841317236E-2</v>
      </c>
      <c r="AE57" s="874">
        <f>L36</f>
        <v>4.266010841317236E-2</v>
      </c>
      <c r="AF57" s="874">
        <f>L36</f>
        <v>4.266010841317236E-2</v>
      </c>
      <c r="AG57" s="874">
        <f>L36</f>
        <v>4.266010841317236E-2</v>
      </c>
    </row>
    <row r="58" spans="4:40" ht="14.85" customHeight="1" x14ac:dyDescent="0.25">
      <c r="D58" s="883" t="s">
        <v>922</v>
      </c>
      <c r="E58" s="909"/>
      <c r="F58" s="933"/>
      <c r="G58" s="933"/>
      <c r="H58" s="879"/>
      <c r="I58" s="879"/>
      <c r="J58" s="879"/>
      <c r="K58" s="879"/>
      <c r="L58" s="879"/>
      <c r="M58" s="874">
        <f>H37</f>
        <v>6.2207670720299424E-2</v>
      </c>
      <c r="N58" s="874">
        <f>H37</f>
        <v>6.2207670720299424E-2</v>
      </c>
      <c r="O58" s="874">
        <f>H37</f>
        <v>6.2207670720299424E-2</v>
      </c>
      <c r="P58" s="874">
        <f t="shared" si="22"/>
        <v>6.2207670720299424E-2</v>
      </c>
      <c r="Q58" s="874">
        <f t="shared" si="22"/>
        <v>0.14499779832672832</v>
      </c>
      <c r="R58" s="874">
        <f>I37</f>
        <v>0.14499779832672832</v>
      </c>
      <c r="S58" s="874">
        <f>I37</f>
        <v>0.14499779832672832</v>
      </c>
      <c r="T58" s="874">
        <f t="shared" si="23"/>
        <v>0.14499779832672832</v>
      </c>
      <c r="U58" s="874">
        <f t="shared" si="23"/>
        <v>-0.1694627659574468</v>
      </c>
      <c r="V58" s="874">
        <f>J37</f>
        <v>-0.1694627659574468</v>
      </c>
      <c r="W58" s="874">
        <f>J37</f>
        <v>-0.1694627659574468</v>
      </c>
      <c r="X58" s="874">
        <f>J37</f>
        <v>-0.1694627659574468</v>
      </c>
      <c r="Y58" s="874">
        <f>K37</f>
        <v>5.5110445046464118E-2</v>
      </c>
      <c r="Z58" s="874">
        <f>K37</f>
        <v>5.5110445046464118E-2</v>
      </c>
      <c r="AA58" s="874">
        <f>K37</f>
        <v>5.5110445046464118E-2</v>
      </c>
      <c r="AB58" s="874">
        <f t="shared" si="21"/>
        <v>5.5110445046464118E-2</v>
      </c>
      <c r="AC58" s="874">
        <f t="shared" si="21"/>
        <v>6.3989414007016965E-2</v>
      </c>
      <c r="AD58" s="874">
        <f>L37</f>
        <v>6.3989414007016965E-2</v>
      </c>
      <c r="AE58" s="874">
        <f>L37</f>
        <v>6.3989414007016965E-2</v>
      </c>
      <c r="AF58" s="874">
        <f>L37</f>
        <v>6.3989414007016965E-2</v>
      </c>
      <c r="AG58" s="874">
        <f>L37</f>
        <v>6.3989414007016965E-2</v>
      </c>
    </row>
    <row r="59" spans="4:40" ht="14.85" customHeight="1" x14ac:dyDescent="0.25">
      <c r="D59" s="914"/>
      <c r="E59" s="909"/>
      <c r="F59" s="933"/>
      <c r="G59" s="933"/>
      <c r="H59" s="879"/>
      <c r="I59" s="879"/>
      <c r="J59" s="879"/>
      <c r="K59" s="879"/>
      <c r="L59" s="879"/>
      <c r="M59" s="874">
        <f>H38</f>
        <v>0.22696422408834716</v>
      </c>
      <c r="N59" s="874">
        <f>H38</f>
        <v>0.22696422408834716</v>
      </c>
      <c r="O59" s="874">
        <f>H38</f>
        <v>0.22696422408834716</v>
      </c>
      <c r="P59" s="874">
        <f t="shared" si="22"/>
        <v>0.22696422408834716</v>
      </c>
      <c r="Q59" s="874">
        <f t="shared" si="22"/>
        <v>0.21530114382148868</v>
      </c>
      <c r="R59" s="874">
        <f>I38</f>
        <v>0.21530114382148868</v>
      </c>
      <c r="S59" s="874">
        <f>I38</f>
        <v>0.21530114382148868</v>
      </c>
      <c r="T59" s="874">
        <f t="shared" si="23"/>
        <v>0.21530114382148868</v>
      </c>
      <c r="U59" s="874">
        <f t="shared" si="23"/>
        <v>-1.2434479495936457E-2</v>
      </c>
      <c r="V59" s="874">
        <f>J38</f>
        <v>-1.2434479495936457E-2</v>
      </c>
      <c r="W59" s="874">
        <f>J38</f>
        <v>-1.2434479495936457E-2</v>
      </c>
      <c r="X59" s="874">
        <f>J38</f>
        <v>-1.2434479495936457E-2</v>
      </c>
      <c r="Y59" s="874">
        <f>K38</f>
        <v>9.54067838621111E-2</v>
      </c>
      <c r="Z59" s="874">
        <f>K38</f>
        <v>9.54067838621111E-2</v>
      </c>
      <c r="AA59" s="874">
        <f>K38</f>
        <v>9.54067838621111E-2</v>
      </c>
      <c r="AB59" s="874">
        <f t="shared" si="21"/>
        <v>9.54067838621111E-2</v>
      </c>
      <c r="AC59" s="874">
        <f t="shared" si="21"/>
        <v>7.880238857619129E-2</v>
      </c>
      <c r="AD59" s="874">
        <f>L38</f>
        <v>7.880238857619129E-2</v>
      </c>
      <c r="AE59" s="874">
        <f>L38</f>
        <v>7.880238857619129E-2</v>
      </c>
      <c r="AF59" s="874">
        <f>L38</f>
        <v>7.880238857619129E-2</v>
      </c>
      <c r="AG59" s="874">
        <f>L38</f>
        <v>7.880238857619129E-2</v>
      </c>
    </row>
    <row r="60" spans="4:40" ht="14.85" customHeight="1" x14ac:dyDescent="0.25">
      <c r="D60" s="914"/>
      <c r="E60" s="909"/>
      <c r="F60" s="933"/>
      <c r="G60" s="933"/>
      <c r="H60" s="879"/>
      <c r="I60" s="879"/>
      <c r="J60" s="781"/>
      <c r="K60" s="879"/>
      <c r="L60" s="879"/>
    </row>
    <row r="61" spans="4:40" ht="14.85" customHeight="1" x14ac:dyDescent="0.25">
      <c r="D61" s="914"/>
      <c r="E61" s="909"/>
      <c r="F61" s="933"/>
      <c r="G61" s="933"/>
      <c r="H61" s="879"/>
      <c r="I61" s="879"/>
      <c r="J61" s="879"/>
      <c r="K61" s="879"/>
      <c r="L61" s="879"/>
    </row>
    <row r="62" spans="4:40" ht="41.85" customHeight="1" x14ac:dyDescent="0.25">
      <c r="F62" s="222"/>
      <c r="G62" s="222"/>
      <c r="H62" s="722"/>
      <c r="I62" s="722"/>
      <c r="J62" s="722"/>
      <c r="K62" s="722"/>
      <c r="L62" s="722"/>
      <c r="M62" s="265"/>
      <c r="N62" s="265"/>
      <c r="AF62" s="722"/>
      <c r="AG62" s="722"/>
      <c r="AH62" s="722"/>
      <c r="AI62" s="722"/>
      <c r="AJ62" s="722"/>
      <c r="AK62" s="722"/>
      <c r="AM62" s="722"/>
      <c r="AN62" s="722"/>
    </row>
    <row r="63" spans="4:40" ht="30.75" customHeight="1" x14ac:dyDescent="0.25">
      <c r="D63" s="834" t="s">
        <v>1949</v>
      </c>
      <c r="E63" s="660">
        <v>2018</v>
      </c>
      <c r="F63" s="836">
        <v>2019</v>
      </c>
      <c r="G63" s="836">
        <v>2020</v>
      </c>
      <c r="H63" s="836">
        <v>2021</v>
      </c>
      <c r="I63" s="837">
        <v>2022</v>
      </c>
      <c r="J63" s="859">
        <v>2023</v>
      </c>
      <c r="K63" s="864">
        <v>2024</v>
      </c>
      <c r="L63" s="866">
        <v>2025</v>
      </c>
      <c r="N63" s="966"/>
      <c r="O63" s="204"/>
    </row>
    <row r="64" spans="4:40" ht="30.75" customHeight="1" x14ac:dyDescent="0.25">
      <c r="D64" s="839" t="s">
        <v>1848</v>
      </c>
      <c r="E64" s="840">
        <v>1683.5</v>
      </c>
      <c r="F64" s="840">
        <v>1717.9</v>
      </c>
      <c r="G64" s="840">
        <v>1609</v>
      </c>
      <c r="H64" s="354">
        <v>2044.377</v>
      </c>
      <c r="I64" s="455">
        <v>2632.145</v>
      </c>
      <c r="J64" s="862">
        <v>2176.4810000000002</v>
      </c>
      <c r="K64" s="212">
        <v>2469</v>
      </c>
      <c r="L64" s="351">
        <v>2520.36</v>
      </c>
      <c r="M64" s="766" t="s">
        <v>492</v>
      </c>
      <c r="N64" s="966"/>
      <c r="O64" s="204"/>
    </row>
    <row r="65" spans="4:26" ht="16.5" customHeight="1" x14ac:dyDescent="0.25">
      <c r="D65" s="971" t="s">
        <v>1849</v>
      </c>
      <c r="E65" s="838">
        <v>1170.7</v>
      </c>
      <c r="F65" s="838">
        <v>1243.4000000000001</v>
      </c>
      <c r="G65" s="838">
        <v>1310</v>
      </c>
      <c r="H65" s="425">
        <v>1314.088</v>
      </c>
      <c r="I65" s="212">
        <v>1483.5260000000001</v>
      </c>
      <c r="J65" s="862">
        <v>1614.454</v>
      </c>
      <c r="K65" s="212">
        <v>1663.451</v>
      </c>
      <c r="L65" s="351">
        <v>1734.414</v>
      </c>
      <c r="M65" s="766"/>
      <c r="N65" s="961"/>
      <c r="O65" s="922"/>
      <c r="P65" s="958"/>
    </row>
    <row r="66" spans="4:26" x14ac:dyDescent="0.25">
      <c r="D66" s="547" t="s">
        <v>494</v>
      </c>
      <c r="E66" s="425">
        <f t="shared" ref="E66:L66" si="24">E67+E68</f>
        <v>136.30000000000001</v>
      </c>
      <c r="F66" s="425">
        <f t="shared" si="24"/>
        <v>170.6</v>
      </c>
      <c r="G66" s="425">
        <f t="shared" si="24"/>
        <v>156</v>
      </c>
      <c r="H66" s="425">
        <f t="shared" si="24"/>
        <v>155.25900000000001</v>
      </c>
      <c r="I66" s="425">
        <f t="shared" si="24"/>
        <v>188</v>
      </c>
      <c r="J66" s="893">
        <f t="shared" si="24"/>
        <v>156.14100000000002</v>
      </c>
      <c r="K66" s="425">
        <f t="shared" si="24"/>
        <v>164.74599999999998</v>
      </c>
      <c r="L66" s="894">
        <f t="shared" si="24"/>
        <v>175.28800000000001</v>
      </c>
      <c r="N66" s="182"/>
      <c r="P66" s="962"/>
      <c r="Q66" s="962"/>
      <c r="R66" s="962"/>
      <c r="S66" s="962"/>
      <c r="T66" s="962"/>
      <c r="U66" s="962"/>
      <c r="V66" s="962"/>
      <c r="W66" s="962"/>
    </row>
    <row r="67" spans="4:26" x14ac:dyDescent="0.25">
      <c r="D67" s="671" t="s">
        <v>1757</v>
      </c>
      <c r="E67" s="838">
        <v>95</v>
      </c>
      <c r="F67" s="838">
        <v>99.8</v>
      </c>
      <c r="G67" s="838">
        <v>87</v>
      </c>
      <c r="H67" s="425">
        <v>75.274000000000001</v>
      </c>
      <c r="I67" s="863">
        <v>88</v>
      </c>
      <c r="J67" s="857">
        <v>75.804000000000002</v>
      </c>
      <c r="K67" s="863">
        <v>85.135999999999996</v>
      </c>
      <c r="L67" s="858">
        <v>92.344999999999999</v>
      </c>
      <c r="N67" s="182"/>
      <c r="P67" s="962"/>
      <c r="Q67" s="962"/>
      <c r="R67" s="962"/>
      <c r="S67" s="962"/>
      <c r="T67" s="962"/>
      <c r="U67" s="962"/>
      <c r="V67" s="962"/>
      <c r="W67" s="962"/>
    </row>
    <row r="68" spans="4:26" ht="16.5" customHeight="1" x14ac:dyDescent="0.25">
      <c r="D68" s="516" t="s">
        <v>1758</v>
      </c>
      <c r="E68" s="838">
        <v>41.3</v>
      </c>
      <c r="F68" s="838">
        <v>70.8</v>
      </c>
      <c r="G68" s="838">
        <v>69</v>
      </c>
      <c r="H68" s="425">
        <v>79.984999999999999</v>
      </c>
      <c r="I68" s="863">
        <v>100</v>
      </c>
      <c r="J68" s="857">
        <v>80.337000000000003</v>
      </c>
      <c r="K68" s="863">
        <v>79.61</v>
      </c>
      <c r="L68" s="858">
        <v>82.942999999999998</v>
      </c>
      <c r="M68" s="934"/>
      <c r="N68" s="934"/>
      <c r="O68" s="960"/>
      <c r="P68" s="958"/>
      <c r="Q68" s="958"/>
      <c r="R68" s="958"/>
      <c r="S68" s="958"/>
      <c r="T68" s="958"/>
      <c r="U68" s="958"/>
      <c r="V68" s="958"/>
      <c r="W68" s="958"/>
      <c r="X68" s="934"/>
      <c r="Y68" s="934"/>
      <c r="Z68" s="959"/>
    </row>
    <row r="69" spans="4:26" ht="16.5" customHeight="1" x14ac:dyDescent="0.25">
      <c r="D69" s="841" t="s">
        <v>1850</v>
      </c>
      <c r="E69" s="842">
        <v>204.7</v>
      </c>
      <c r="F69" s="842">
        <v>230.2</v>
      </c>
      <c r="G69" s="842">
        <v>212</v>
      </c>
      <c r="H69" s="904">
        <v>371.83100000000002</v>
      </c>
      <c r="I69" s="480">
        <v>424.86700000000002</v>
      </c>
      <c r="J69" s="867">
        <v>419.584</v>
      </c>
      <c r="K69" s="480">
        <v>568.70699999999999</v>
      </c>
      <c r="L69" s="399">
        <v>494.09399999999999</v>
      </c>
      <c r="M69" s="934"/>
      <c r="N69" s="934"/>
      <c r="O69" s="960"/>
      <c r="P69" s="958"/>
      <c r="Q69" s="958"/>
      <c r="R69" s="958"/>
      <c r="S69" s="958"/>
      <c r="T69" s="958"/>
      <c r="U69" s="958"/>
      <c r="V69" s="958"/>
      <c r="W69" s="958"/>
      <c r="X69" s="934"/>
      <c r="Y69" s="934"/>
      <c r="Z69" s="959"/>
    </row>
    <row r="70" spans="4:26" ht="16.5" customHeight="1" x14ac:dyDescent="0.25"/>
    <row r="71" spans="4:26" x14ac:dyDescent="0.25">
      <c r="D71" s="927" t="s">
        <v>495</v>
      </c>
      <c r="E71" s="760">
        <v>2018</v>
      </c>
      <c r="F71" s="761">
        <v>2019</v>
      </c>
      <c r="G71" s="762">
        <v>2020</v>
      </c>
      <c r="H71" s="761">
        <v>2021</v>
      </c>
      <c r="I71" s="761">
        <v>2022</v>
      </c>
      <c r="J71" s="967">
        <v>2023</v>
      </c>
      <c r="K71" s="967">
        <v>2024</v>
      </c>
      <c r="L71" s="968">
        <v>2025</v>
      </c>
      <c r="O71" s="509" t="s">
        <v>496</v>
      </c>
    </row>
    <row r="72" spans="4:26" ht="14.85" customHeight="1" x14ac:dyDescent="0.25">
      <c r="D72" s="929" t="s">
        <v>491</v>
      </c>
      <c r="E72" s="216">
        <v>1622</v>
      </c>
      <c r="F72" s="216">
        <v>1687</v>
      </c>
      <c r="G72" s="924">
        <f t="shared" ref="G72:L75" si="25">G30</f>
        <v>1719.875</v>
      </c>
      <c r="H72" s="924">
        <f t="shared" si="25"/>
        <v>2049.6750000000002</v>
      </c>
      <c r="I72" s="924">
        <f t="shared" si="25"/>
        <v>2449.1750000000002</v>
      </c>
      <c r="J72" s="924">
        <f t="shared" si="25"/>
        <v>2025.1858667265676</v>
      </c>
      <c r="K72" s="924">
        <f t="shared" si="25"/>
        <v>2297.3708040400516</v>
      </c>
      <c r="L72" s="924">
        <f t="shared" si="25"/>
        <v>2345.1605830985764</v>
      </c>
    </row>
    <row r="73" spans="4:26" x14ac:dyDescent="0.25">
      <c r="D73" s="929" t="s">
        <v>497</v>
      </c>
      <c r="E73" s="216">
        <v>1332</v>
      </c>
      <c r="F73" s="216">
        <v>1388</v>
      </c>
      <c r="G73" s="924">
        <f t="shared" si="25"/>
        <v>1424.3</v>
      </c>
      <c r="H73" s="924">
        <f t="shared" si="25"/>
        <v>1507.5250000000001</v>
      </c>
      <c r="I73" s="924">
        <f t="shared" si="25"/>
        <v>1656.6750000000002</v>
      </c>
      <c r="J73" s="924">
        <f t="shared" si="25"/>
        <v>1802.8841964684138</v>
      </c>
      <c r="K73" s="924">
        <f t="shared" si="25"/>
        <v>1857.5998569792509</v>
      </c>
      <c r="L73" s="924">
        <f t="shared" si="25"/>
        <v>1936.8452682662792</v>
      </c>
      <c r="N73" s="932"/>
    </row>
    <row r="74" spans="4:26" x14ac:dyDescent="0.25">
      <c r="D74" s="929" t="s">
        <v>105</v>
      </c>
      <c r="E74" s="216">
        <v>150</v>
      </c>
      <c r="F74" s="216">
        <v>175</v>
      </c>
      <c r="G74" s="924">
        <f t="shared" si="25"/>
        <v>160.35</v>
      </c>
      <c r="H74" s="924">
        <f t="shared" si="25"/>
        <v>170.32500000000002</v>
      </c>
      <c r="I74" s="924">
        <f t="shared" si="25"/>
        <v>196.72500000000002</v>
      </c>
      <c r="J74" s="924">
        <f t="shared" si="25"/>
        <v>163.38743736702131</v>
      </c>
      <c r="K74" s="924">
        <f t="shared" si="25"/>
        <v>172.39179175531913</v>
      </c>
      <c r="L74" s="924">
        <f t="shared" si="25"/>
        <v>183.42304148936171</v>
      </c>
      <c r="N74" s="932"/>
    </row>
    <row r="75" spans="4:26" x14ac:dyDescent="0.25">
      <c r="D75" s="928" t="s">
        <v>258</v>
      </c>
      <c r="E75" s="562">
        <v>208</v>
      </c>
      <c r="F75" s="562">
        <v>219</v>
      </c>
      <c r="G75" s="780">
        <f t="shared" si="25"/>
        <v>217.32499999999999</v>
      </c>
      <c r="H75" s="780">
        <f t="shared" si="25"/>
        <v>266.65000000000003</v>
      </c>
      <c r="I75" s="780">
        <f t="shared" si="25"/>
        <v>351.52499999999998</v>
      </c>
      <c r="J75" s="780">
        <f t="shared" si="25"/>
        <v>347.15396959519092</v>
      </c>
      <c r="K75" s="780">
        <f t="shared" si="25"/>
        <v>470.53484543398281</v>
      </c>
      <c r="L75" s="780">
        <f t="shared" si="25"/>
        <v>408.80179762137323</v>
      </c>
      <c r="O75" s="1350" t="s">
        <v>900</v>
      </c>
      <c r="P75" s="1350" t="s">
        <v>900</v>
      </c>
      <c r="Q75" s="1350" t="s">
        <v>900</v>
      </c>
      <c r="R75" s="1350" t="s">
        <v>900</v>
      </c>
      <c r="S75" s="1350" t="s">
        <v>900</v>
      </c>
      <c r="T75" s="1350" t="s">
        <v>900</v>
      </c>
      <c r="U75" s="1350" t="s">
        <v>900</v>
      </c>
      <c r="V75" s="1351" t="s">
        <v>900</v>
      </c>
    </row>
    <row r="76" spans="4:26" ht="14.85" customHeight="1" x14ac:dyDescent="0.25">
      <c r="D76" s="247"/>
      <c r="E76" s="216"/>
      <c r="F76" s="216"/>
      <c r="G76" s="216"/>
      <c r="P76" s="1352">
        <v>2022</v>
      </c>
      <c r="Q76" s="1353">
        <v>2022</v>
      </c>
      <c r="R76" s="1353">
        <v>2022</v>
      </c>
      <c r="S76" s="1354">
        <v>2022</v>
      </c>
    </row>
    <row r="77" spans="4:26" ht="17.25" customHeight="1" x14ac:dyDescent="0.25">
      <c r="D77" s="464" t="s">
        <v>499</v>
      </c>
      <c r="E77" s="216"/>
      <c r="F77" s="216"/>
      <c r="G77" s="216"/>
      <c r="P77" s="132" t="s">
        <v>901</v>
      </c>
      <c r="Q77" s="132" t="s">
        <v>902</v>
      </c>
      <c r="R77" s="132" t="s">
        <v>903</v>
      </c>
      <c r="S77" s="132" t="s">
        <v>904</v>
      </c>
      <c r="T77" s="122" t="s">
        <v>918</v>
      </c>
    </row>
    <row r="78" spans="4:26" ht="30" customHeight="1" x14ac:dyDescent="0.25">
      <c r="D78" s="777" t="s">
        <v>500</v>
      </c>
      <c r="E78" s="761">
        <v>2018</v>
      </c>
      <c r="F78" s="761">
        <v>2019</v>
      </c>
      <c r="G78" s="762">
        <v>2020</v>
      </c>
      <c r="H78" s="660">
        <v>2021</v>
      </c>
      <c r="I78" s="661">
        <v>2022</v>
      </c>
      <c r="J78" s="969">
        <v>2023</v>
      </c>
      <c r="K78" s="969">
        <v>2024</v>
      </c>
      <c r="L78" s="970">
        <v>2025</v>
      </c>
      <c r="O78" s="30" t="s">
        <v>498</v>
      </c>
      <c r="P78" s="136">
        <v>2973</v>
      </c>
      <c r="Q78" s="136">
        <v>3062.8</v>
      </c>
      <c r="R78" s="136">
        <v>3085.2</v>
      </c>
      <c r="S78" s="835">
        <v>2106.1999999999998</v>
      </c>
      <c r="T78" s="136">
        <v>3123.2</v>
      </c>
    </row>
    <row r="79" spans="4:26" x14ac:dyDescent="0.25">
      <c r="D79" s="929" t="s">
        <v>491</v>
      </c>
      <c r="E79" s="872">
        <f t="shared" ref="E79:K81" si="26">E72/E64</f>
        <v>0.96346896346896349</v>
      </c>
      <c r="F79" s="872">
        <f t="shared" si="26"/>
        <v>0.98201292275452579</v>
      </c>
      <c r="G79" s="872">
        <f t="shared" si="26"/>
        <v>1.0689092604101926</v>
      </c>
      <c r="H79" s="910">
        <f t="shared" si="26"/>
        <v>1.0025914985347615</v>
      </c>
      <c r="I79" s="911">
        <f t="shared" si="26"/>
        <v>0.93048635238560196</v>
      </c>
      <c r="J79" s="911">
        <f t="shared" si="26"/>
        <v>0.93048635238560196</v>
      </c>
      <c r="K79" s="911">
        <f t="shared" si="26"/>
        <v>0.93048635238560207</v>
      </c>
      <c r="L79" s="912"/>
      <c r="T79" s="204"/>
    </row>
    <row r="80" spans="4:26" x14ac:dyDescent="0.25">
      <c r="D80" s="929" t="s">
        <v>497</v>
      </c>
      <c r="E80" s="872">
        <f t="shared" si="26"/>
        <v>1.1377808148970701</v>
      </c>
      <c r="F80" s="872">
        <f t="shared" si="26"/>
        <v>1.1162940324915553</v>
      </c>
      <c r="G80" s="872">
        <f t="shared" si="26"/>
        <v>1.0872519083969465</v>
      </c>
      <c r="H80" s="886">
        <f t="shared" si="26"/>
        <v>1.1472024704585995</v>
      </c>
      <c r="I80" s="872">
        <f t="shared" si="26"/>
        <v>1.1167145031499279</v>
      </c>
      <c r="J80" s="872">
        <f t="shared" si="26"/>
        <v>1.1167145031499279</v>
      </c>
      <c r="K80" s="872">
        <f t="shared" si="26"/>
        <v>1.1167145031499279</v>
      </c>
      <c r="L80" s="624"/>
    </row>
    <row r="81" spans="4:12" x14ac:dyDescent="0.25">
      <c r="D81" s="929" t="s">
        <v>105</v>
      </c>
      <c r="E81" s="872">
        <f t="shared" si="26"/>
        <v>1.1005135730007336</v>
      </c>
      <c r="F81" s="872">
        <f t="shared" si="26"/>
        <v>1.0257913247362251</v>
      </c>
      <c r="G81" s="872">
        <f t="shared" si="26"/>
        <v>1.0278846153846153</v>
      </c>
      <c r="H81" s="886">
        <f t="shared" si="26"/>
        <v>1.097037852878094</v>
      </c>
      <c r="I81" s="872">
        <f t="shared" si="26"/>
        <v>1.0464095744680852</v>
      </c>
      <c r="J81" s="872">
        <f t="shared" si="26"/>
        <v>1.0464095744680852</v>
      </c>
      <c r="K81" s="872">
        <f t="shared" si="26"/>
        <v>1.046409574468085</v>
      </c>
      <c r="L81" s="624"/>
    </row>
    <row r="82" spans="4:12" x14ac:dyDescent="0.25">
      <c r="D82" s="928" t="s">
        <v>258</v>
      </c>
      <c r="E82" s="888">
        <f t="shared" ref="E82:K82" si="27">E75/E69</f>
        <v>1.0161211529066927</v>
      </c>
      <c r="F82" s="888">
        <f t="shared" si="27"/>
        <v>0.95134665508253702</v>
      </c>
      <c r="G82" s="888">
        <f t="shared" si="27"/>
        <v>1.0251179245283017</v>
      </c>
      <c r="H82" s="887">
        <f t="shared" si="27"/>
        <v>0.71712686677549753</v>
      </c>
      <c r="I82" s="888">
        <f t="shared" si="27"/>
        <v>0.82737656725516451</v>
      </c>
      <c r="J82" s="888">
        <f t="shared" si="27"/>
        <v>0.8273765672551644</v>
      </c>
      <c r="K82" s="888">
        <f t="shared" si="27"/>
        <v>0.82737656725516451</v>
      </c>
      <c r="L82" s="419"/>
    </row>
    <row r="84" spans="4:12" x14ac:dyDescent="0.25">
      <c r="D84" s="247"/>
      <c r="E84" s="216"/>
      <c r="F84" s="216"/>
      <c r="G84" s="216"/>
    </row>
    <row r="85" spans="4:12" x14ac:dyDescent="0.25">
      <c r="D85" s="222" t="s">
        <v>501</v>
      </c>
    </row>
    <row r="86" spans="4:12" x14ac:dyDescent="0.25">
      <c r="D86" s="612"/>
      <c r="E86" s="660">
        <v>2018</v>
      </c>
      <c r="F86" s="836">
        <v>2019</v>
      </c>
      <c r="G86" s="836">
        <v>2020</v>
      </c>
      <c r="H86" s="853">
        <v>2021</v>
      </c>
      <c r="I86" s="836">
        <v>2022</v>
      </c>
      <c r="J86" s="843">
        <v>2023</v>
      </c>
      <c r="K86" s="843">
        <v>2024</v>
      </c>
      <c r="L86" s="763">
        <v>2025</v>
      </c>
    </row>
    <row r="87" spans="4:12" x14ac:dyDescent="0.25">
      <c r="D87" s="561" t="s">
        <v>1950</v>
      </c>
      <c r="E87" s="354">
        <v>14016.099999999999</v>
      </c>
      <c r="F87" s="354">
        <v>14604.2</v>
      </c>
      <c r="G87" s="354">
        <v>14711.300000000001</v>
      </c>
      <c r="H87" s="937">
        <v>20725.8</v>
      </c>
      <c r="I87" s="719">
        <v>21482.5</v>
      </c>
      <c r="J87" s="429">
        <v>22718.1</v>
      </c>
      <c r="K87" s="429">
        <v>23984.6</v>
      </c>
      <c r="L87" s="860">
        <v>25145.4</v>
      </c>
    </row>
    <row r="88" spans="4:12" x14ac:dyDescent="0.25">
      <c r="D88" s="956" t="s">
        <v>1951</v>
      </c>
      <c r="E88" s="216">
        <v>8804</v>
      </c>
      <c r="F88" s="216">
        <v>9209</v>
      </c>
      <c r="G88" s="425">
        <v>9300</v>
      </c>
      <c r="H88" s="936">
        <v>10082.5</v>
      </c>
      <c r="I88" s="429">
        <v>10994.5</v>
      </c>
      <c r="J88" s="429">
        <v>11628.7</v>
      </c>
      <c r="K88" s="429">
        <v>12235.9</v>
      </c>
      <c r="L88" s="860">
        <v>12808.2</v>
      </c>
    </row>
    <row r="89" spans="4:12" x14ac:dyDescent="0.25">
      <c r="D89" s="956" t="s">
        <v>1952</v>
      </c>
      <c r="E89" s="216">
        <v>13844</v>
      </c>
      <c r="F89" s="216">
        <v>14403</v>
      </c>
      <c r="G89" s="425">
        <v>14201</v>
      </c>
      <c r="H89" s="936">
        <v>15279.9</v>
      </c>
      <c r="I89" s="429">
        <v>17042.8</v>
      </c>
      <c r="J89" s="429">
        <v>18329.3</v>
      </c>
      <c r="K89" s="429">
        <v>19135.2</v>
      </c>
      <c r="L89" s="860">
        <v>19857.2</v>
      </c>
    </row>
    <row r="90" spans="4:12" x14ac:dyDescent="0.25">
      <c r="D90" s="883" t="s">
        <v>1953</v>
      </c>
      <c r="E90" s="904">
        <v>2211</v>
      </c>
      <c r="F90" s="904">
        <v>2243</v>
      </c>
      <c r="G90" s="904">
        <v>2125</v>
      </c>
      <c r="H90" s="844">
        <v>2678.6</v>
      </c>
      <c r="I90" s="861">
        <v>2926.6</v>
      </c>
      <c r="J90" s="861">
        <v>3215.7</v>
      </c>
      <c r="K90" s="861">
        <v>3263</v>
      </c>
      <c r="L90" s="865">
        <v>3353.8</v>
      </c>
    </row>
    <row r="92" spans="4:12" x14ac:dyDescent="0.25">
      <c r="D92" s="222" t="s">
        <v>505</v>
      </c>
    </row>
    <row r="93" spans="4:12" x14ac:dyDescent="0.25">
      <c r="D93" s="927" t="s">
        <v>506</v>
      </c>
      <c r="E93" s="661">
        <v>2018</v>
      </c>
      <c r="F93" s="854">
        <v>2019</v>
      </c>
      <c r="G93" s="854">
        <v>2020</v>
      </c>
      <c r="H93" s="853">
        <v>2021</v>
      </c>
      <c r="I93" s="854">
        <v>2022</v>
      </c>
      <c r="J93" s="963">
        <v>2023</v>
      </c>
      <c r="K93" s="963">
        <v>2024</v>
      </c>
      <c r="L93" s="763">
        <v>2025</v>
      </c>
    </row>
    <row r="94" spans="4:12" x14ac:dyDescent="0.25">
      <c r="D94" s="767" t="s">
        <v>491</v>
      </c>
      <c r="E94" s="913">
        <f t="shared" ref="E94:L96" si="28">E64/E87</f>
        <v>0.12011187134794987</v>
      </c>
      <c r="F94" s="896">
        <f t="shared" si="28"/>
        <v>0.11763054463784391</v>
      </c>
      <c r="G94" s="895">
        <f t="shared" si="28"/>
        <v>0.10937170746297063</v>
      </c>
      <c r="H94" s="896">
        <f t="shared" si="28"/>
        <v>9.8639232261239621E-2</v>
      </c>
      <c r="I94" s="896">
        <f t="shared" si="28"/>
        <v>0.12252507855231001</v>
      </c>
      <c r="J94" s="896">
        <f t="shared" si="28"/>
        <v>9.5803830425959927E-2</v>
      </c>
      <c r="K94" s="896">
        <f t="shared" si="28"/>
        <v>0.10294105384288252</v>
      </c>
      <c r="L94" s="895">
        <f t="shared" si="28"/>
        <v>0.10023145386432508</v>
      </c>
    </row>
    <row r="95" spans="4:12" x14ac:dyDescent="0.25">
      <c r="D95" s="767" t="s">
        <v>493</v>
      </c>
      <c r="E95" s="905">
        <f t="shared" si="28"/>
        <v>0.13297364834166289</v>
      </c>
      <c r="F95" s="946">
        <f t="shared" si="28"/>
        <v>0.13502008904332718</v>
      </c>
      <c r="G95" s="784">
        <f t="shared" si="28"/>
        <v>0.14086021505376345</v>
      </c>
      <c r="H95" s="946">
        <f t="shared" si="28"/>
        <v>0.1303335482271262</v>
      </c>
      <c r="I95" s="946">
        <f t="shared" si="28"/>
        <v>0.1349334667333667</v>
      </c>
      <c r="J95" s="946">
        <f t="shared" si="28"/>
        <v>0.13883357555014747</v>
      </c>
      <c r="K95" s="946">
        <f t="shared" si="28"/>
        <v>0.13594839774761155</v>
      </c>
      <c r="L95" s="784">
        <f t="shared" si="28"/>
        <v>0.13541434393591603</v>
      </c>
    </row>
    <row r="96" spans="4:12" x14ac:dyDescent="0.25">
      <c r="D96" s="956" t="s">
        <v>507</v>
      </c>
      <c r="E96" s="905">
        <f t="shared" si="28"/>
        <v>9.8454203987286912E-3</v>
      </c>
      <c r="F96" s="946">
        <f t="shared" si="28"/>
        <v>1.1844754565021176E-2</v>
      </c>
      <c r="G96" s="784">
        <f t="shared" si="28"/>
        <v>1.0985141891416098E-2</v>
      </c>
      <c r="H96" s="946">
        <f t="shared" si="28"/>
        <v>1.016099581803546E-2</v>
      </c>
      <c r="I96" s="946">
        <f t="shared" si="28"/>
        <v>1.1031051235712443E-2</v>
      </c>
      <c r="J96" s="946">
        <f t="shared" si="28"/>
        <v>8.5186559224847656E-3</v>
      </c>
      <c r="K96" s="946">
        <f t="shared" si="28"/>
        <v>8.6095781596220566E-3</v>
      </c>
      <c r="L96" s="784">
        <f t="shared" si="28"/>
        <v>8.827427834740045E-3</v>
      </c>
    </row>
    <row r="97" spans="4:33" x14ac:dyDescent="0.25">
      <c r="D97" s="768" t="s">
        <v>106</v>
      </c>
      <c r="E97" s="889">
        <f t="shared" ref="E97:L97" si="29">E69/E90</f>
        <v>9.258254183627318E-2</v>
      </c>
      <c r="F97" s="890">
        <f t="shared" si="29"/>
        <v>0.10263040570664288</v>
      </c>
      <c r="G97" s="891">
        <f t="shared" si="29"/>
        <v>9.9764705882352936E-2</v>
      </c>
      <c r="H97" s="890">
        <f t="shared" si="29"/>
        <v>0.13881542596878968</v>
      </c>
      <c r="I97" s="890">
        <f t="shared" si="29"/>
        <v>0.14517426365065264</v>
      </c>
      <c r="J97" s="890">
        <f t="shared" si="29"/>
        <v>0.13047983331778462</v>
      </c>
      <c r="K97" s="890">
        <f t="shared" si="29"/>
        <v>0.17428961078761876</v>
      </c>
      <c r="L97" s="891">
        <f t="shared" si="29"/>
        <v>0.14732363289403064</v>
      </c>
    </row>
    <row r="99" spans="4:33" x14ac:dyDescent="0.25">
      <c r="D99" s="222" t="s">
        <v>508</v>
      </c>
    </row>
    <row r="100" spans="4:33" x14ac:dyDescent="0.25">
      <c r="D100" s="774" t="s">
        <v>352</v>
      </c>
    </row>
    <row r="101" spans="4:33" x14ac:dyDescent="0.25">
      <c r="D101" s="927" t="s">
        <v>509</v>
      </c>
      <c r="E101" s="761">
        <v>2018</v>
      </c>
      <c r="F101" s="850">
        <v>2019</v>
      </c>
      <c r="G101" s="850">
        <v>2020</v>
      </c>
      <c r="H101" s="852">
        <v>2021</v>
      </c>
      <c r="I101" s="850">
        <v>2022</v>
      </c>
      <c r="J101" s="764">
        <v>2023</v>
      </c>
      <c r="K101" s="764">
        <v>2024</v>
      </c>
      <c r="L101" s="765">
        <v>2025</v>
      </c>
    </row>
    <row r="102" spans="4:33" ht="20.25" customHeight="1" x14ac:dyDescent="0.25">
      <c r="D102" s="930" t="s">
        <v>491</v>
      </c>
      <c r="E102" s="913">
        <f t="shared" ref="E102:G105" si="30">E94*E79</f>
        <v>0.11572406018792676</v>
      </c>
      <c r="F102" s="896">
        <f t="shared" si="30"/>
        <v>0.11551471494501581</v>
      </c>
      <c r="G102" s="896">
        <f t="shared" si="30"/>
        <v>0.11690843093404389</v>
      </c>
      <c r="H102" s="913">
        <f>N121</f>
        <v>0.13265203887386032</v>
      </c>
      <c r="I102" s="896">
        <f>H102</f>
        <v>0.13265203887386032</v>
      </c>
      <c r="J102" s="896">
        <f t="shared" ref="J102:L102" si="31">I102</f>
        <v>0.13265203887386032</v>
      </c>
      <c r="K102" s="896">
        <f t="shared" si="31"/>
        <v>0.13265203887386032</v>
      </c>
      <c r="L102" s="895">
        <f t="shared" si="31"/>
        <v>0.13265203887386032</v>
      </c>
      <c r="M102" s="770"/>
      <c r="N102" s="769"/>
      <c r="O102" s="946"/>
      <c r="P102" s="946"/>
      <c r="Q102" s="946"/>
      <c r="R102" s="946"/>
      <c r="S102" s="946"/>
      <c r="T102" s="946"/>
      <c r="U102" s="946"/>
      <c r="V102" s="946"/>
      <c r="W102" s="946"/>
      <c r="X102" s="946"/>
      <c r="Y102" s="946"/>
    </row>
    <row r="103" spans="4:33" ht="18.75" customHeight="1" x14ac:dyDescent="0.25">
      <c r="D103" s="930" t="s">
        <v>493</v>
      </c>
      <c r="E103" s="905">
        <f t="shared" si="30"/>
        <v>0.15129486597001363</v>
      </c>
      <c r="F103" s="946">
        <f t="shared" si="30"/>
        <v>0.15072211966554458</v>
      </c>
      <c r="G103" s="946">
        <f t="shared" si="30"/>
        <v>0.15315053763440861</v>
      </c>
      <c r="H103" s="905">
        <f>N123</f>
        <v>0.14928290766208252</v>
      </c>
      <c r="I103" s="946">
        <f>H103</f>
        <v>0.14928290766208252</v>
      </c>
      <c r="J103" s="946">
        <f>I103</f>
        <v>0.14928290766208252</v>
      </c>
      <c r="K103" s="946">
        <f t="shared" ref="K103:L103" si="32">J103</f>
        <v>0.14928290766208252</v>
      </c>
      <c r="L103" s="784">
        <f t="shared" si="32"/>
        <v>0.14928290766208252</v>
      </c>
      <c r="M103" s="770"/>
      <c r="N103" s="769"/>
      <c r="O103" s="946"/>
      <c r="P103" s="946"/>
      <c r="Q103" s="946"/>
      <c r="R103" s="946"/>
      <c r="S103" s="946"/>
      <c r="T103" s="946"/>
      <c r="U103" s="946"/>
      <c r="V103" s="946"/>
      <c r="W103" s="946"/>
      <c r="X103" s="946"/>
      <c r="Y103" s="946"/>
    </row>
    <row r="104" spans="4:33" ht="19.350000000000001" customHeight="1" x14ac:dyDescent="0.25">
      <c r="D104" s="929" t="s">
        <v>105</v>
      </c>
      <c r="E104" s="905">
        <f t="shared" si="30"/>
        <v>1.0835018780699219E-2</v>
      </c>
      <c r="F104" s="946">
        <f t="shared" si="30"/>
        <v>1.2150246476428523E-2</v>
      </c>
      <c r="G104" s="946">
        <f t="shared" si="30"/>
        <v>1.1291458348003661E-2</v>
      </c>
      <c r="H104" s="905">
        <f>N124</f>
        <v>1.1315975901046335E-2</v>
      </c>
      <c r="I104" s="946">
        <f>AVERAGE($F81:$G81)*I96</f>
        <v>1.1327102258511454E-2</v>
      </c>
      <c r="J104" s="946">
        <f>AVERAGE($F81:$G81)*J96</f>
        <v>8.7472793550874336E-3</v>
      </c>
      <c r="K104" s="946">
        <f>J104</f>
        <v>8.7472793550874336E-3</v>
      </c>
      <c r="L104" s="784">
        <f>K104</f>
        <v>8.7472793550874336E-3</v>
      </c>
      <c r="M104" s="770"/>
      <c r="N104" s="769"/>
      <c r="O104" s="946"/>
      <c r="P104" s="946"/>
      <c r="Q104" s="946"/>
      <c r="R104" s="946"/>
      <c r="S104" s="946"/>
      <c r="T104" s="946"/>
      <c r="U104" s="946"/>
      <c r="V104" s="946"/>
      <c r="W104" s="946"/>
      <c r="X104" s="946"/>
      <c r="Y104" s="946"/>
    </row>
    <row r="105" spans="4:33" ht="19.350000000000001" customHeight="1" x14ac:dyDescent="0.25">
      <c r="D105" s="931" t="s">
        <v>106</v>
      </c>
      <c r="E105" s="889">
        <f t="shared" si="30"/>
        <v>9.4075079149706017E-2</v>
      </c>
      <c r="F105" s="890">
        <f t="shared" si="30"/>
        <v>9.7637093178778417E-2</v>
      </c>
      <c r="G105" s="890">
        <f t="shared" si="30"/>
        <v>0.1022705882352941</v>
      </c>
      <c r="H105" s="889">
        <f>M125</f>
        <v>0.11063848447640764</v>
      </c>
      <c r="I105" s="890">
        <f>N125</f>
        <v>0.10992248062015504</v>
      </c>
      <c r="J105" s="890">
        <f>I105</f>
        <v>0.10992248062015504</v>
      </c>
      <c r="K105" s="890">
        <f>J105</f>
        <v>0.10992248062015504</v>
      </c>
      <c r="L105" s="891">
        <f>K105</f>
        <v>0.10992248062015504</v>
      </c>
      <c r="M105" s="770"/>
      <c r="N105" s="769"/>
      <c r="O105" s="946"/>
      <c r="P105" s="946"/>
      <c r="Q105" s="946"/>
      <c r="R105" s="946"/>
      <c r="S105" s="946"/>
      <c r="T105" s="946"/>
      <c r="U105" s="946"/>
      <c r="V105" s="946"/>
      <c r="W105" s="946"/>
      <c r="X105" s="946"/>
      <c r="Y105" s="946"/>
    </row>
    <row r="106" spans="4:33" x14ac:dyDescent="0.25">
      <c r="E106" s="686"/>
      <c r="F106" s="686"/>
      <c r="G106" s="686"/>
      <c r="H106" s="686"/>
      <c r="I106" s="686"/>
      <c r="J106" s="686"/>
      <c r="K106" s="686"/>
      <c r="L106" s="686"/>
    </row>
    <row r="107" spans="4:33" x14ac:dyDescent="0.25">
      <c r="D107" s="773" t="s">
        <v>365</v>
      </c>
      <c r="E107" s="946"/>
      <c r="F107" s="946"/>
      <c r="G107" s="946"/>
      <c r="H107" s="946"/>
      <c r="I107" s="946"/>
      <c r="J107" s="946"/>
      <c r="K107" s="946"/>
      <c r="L107" s="946"/>
      <c r="M107" s="946"/>
      <c r="N107" s="946"/>
      <c r="O107" s="946"/>
      <c r="P107" s="946"/>
      <c r="Q107" s="946"/>
      <c r="R107" s="946"/>
      <c r="S107" s="946"/>
      <c r="T107" s="946"/>
      <c r="U107" s="946"/>
      <c r="V107" s="946"/>
      <c r="W107" s="946"/>
      <c r="X107" s="946"/>
      <c r="Y107" s="946"/>
    </row>
    <row r="108" spans="4:33" x14ac:dyDescent="0.25">
      <c r="D108" s="1453" t="s">
        <v>1954</v>
      </c>
      <c r="E108" s="1468"/>
      <c r="F108" s="1371">
        <v>2019</v>
      </c>
      <c r="G108" s="1372"/>
      <c r="H108" s="1373"/>
      <c r="I108" s="1371">
        <v>2020</v>
      </c>
      <c r="J108" s="1372"/>
      <c r="K108" s="1372"/>
      <c r="L108" s="1373"/>
      <c r="M108" s="1371">
        <v>2021</v>
      </c>
      <c r="N108" s="1372"/>
      <c r="O108" s="1372"/>
      <c r="P108" s="1372"/>
      <c r="Q108" s="1371">
        <v>2022</v>
      </c>
      <c r="R108" s="1403"/>
      <c r="S108" s="1403"/>
      <c r="T108" s="1373"/>
      <c r="U108" s="270"/>
      <c r="V108" s="270">
        <v>2023</v>
      </c>
      <c r="W108" s="552"/>
      <c r="X108" s="242"/>
      <c r="Y108" s="1368">
        <v>2024</v>
      </c>
      <c r="Z108" s="1381"/>
      <c r="AA108" s="1381"/>
      <c r="AB108" s="1370"/>
      <c r="AC108" s="1368">
        <v>2025</v>
      </c>
      <c r="AD108" s="1381"/>
      <c r="AE108" s="1381"/>
      <c r="AF108" s="1370"/>
      <c r="AG108" s="327">
        <v>2026</v>
      </c>
    </row>
    <row r="109" spans="4:33" x14ac:dyDescent="0.25">
      <c r="D109" s="1469"/>
      <c r="E109" s="1470"/>
      <c r="F109" s="195" t="s">
        <v>284</v>
      </c>
      <c r="G109" s="196" t="s">
        <v>238</v>
      </c>
      <c r="H109" s="197" t="s">
        <v>282</v>
      </c>
      <c r="I109" s="195" t="s">
        <v>283</v>
      </c>
      <c r="J109" s="196" t="s">
        <v>284</v>
      </c>
      <c r="K109" s="196" t="s">
        <v>238</v>
      </c>
      <c r="L109" s="197" t="s">
        <v>282</v>
      </c>
      <c r="M109" s="195" t="s">
        <v>283</v>
      </c>
      <c r="N109" s="196" t="s">
        <v>284</v>
      </c>
      <c r="O109" s="196" t="s">
        <v>238</v>
      </c>
      <c r="P109" s="196" t="s">
        <v>282</v>
      </c>
      <c r="Q109" s="195" t="s">
        <v>283</v>
      </c>
      <c r="R109" s="196" t="s">
        <v>284</v>
      </c>
      <c r="S109" s="196" t="s">
        <v>238</v>
      </c>
      <c r="T109" s="197" t="s">
        <v>282</v>
      </c>
      <c r="U109" s="196" t="s">
        <v>283</v>
      </c>
      <c r="V109" s="268" t="s">
        <v>284</v>
      </c>
      <c r="W109" s="252" t="s">
        <v>238</v>
      </c>
      <c r="X109" s="253" t="s">
        <v>282</v>
      </c>
      <c r="Y109" s="251" t="s">
        <v>283</v>
      </c>
      <c r="Z109" s="249" t="s">
        <v>284</v>
      </c>
      <c r="AA109" s="252" t="s">
        <v>238</v>
      </c>
      <c r="AB109" s="252" t="s">
        <v>282</v>
      </c>
      <c r="AC109" s="251" t="s">
        <v>283</v>
      </c>
      <c r="AD109" s="249" t="s">
        <v>284</v>
      </c>
      <c r="AE109" s="252" t="s">
        <v>238</v>
      </c>
      <c r="AF109" s="252" t="s">
        <v>282</v>
      </c>
      <c r="AG109" s="254" t="s">
        <v>283</v>
      </c>
    </row>
    <row r="110" spans="4:33" x14ac:dyDescent="0.25">
      <c r="D110" s="778" t="s">
        <v>502</v>
      </c>
      <c r="E110" s="845"/>
      <c r="F110" s="354">
        <f t="shared" ref="F110:AC110" si="33">F111+F112</f>
        <v>0</v>
      </c>
      <c r="G110" s="354">
        <f t="shared" si="33"/>
        <v>0</v>
      </c>
      <c r="H110" s="354">
        <f t="shared" si="33"/>
        <v>0</v>
      </c>
      <c r="I110" s="354">
        <f t="shared" si="33"/>
        <v>15134.800000000001</v>
      </c>
      <c r="J110" s="354">
        <f t="shared" si="33"/>
        <v>14265.5</v>
      </c>
      <c r="K110" s="354">
        <f t="shared" si="33"/>
        <v>14943.5</v>
      </c>
      <c r="L110" s="354">
        <f t="shared" si="33"/>
        <v>15319.300000000001</v>
      </c>
      <c r="M110" s="354">
        <f t="shared" si="33"/>
        <v>15399.800000000001</v>
      </c>
      <c r="N110" s="354">
        <f t="shared" si="33"/>
        <v>15959.6</v>
      </c>
      <c r="O110" s="354">
        <f t="shared" si="33"/>
        <v>16325.6</v>
      </c>
      <c r="P110" s="354">
        <f t="shared" si="33"/>
        <v>16677.3</v>
      </c>
      <c r="Q110" s="354">
        <f t="shared" si="33"/>
        <v>16822.5</v>
      </c>
      <c r="R110" s="354">
        <f t="shared" si="33"/>
        <v>17045.7</v>
      </c>
      <c r="S110" s="354">
        <f t="shared" si="33"/>
        <v>17425.3</v>
      </c>
      <c r="T110" s="797">
        <f t="shared" si="33"/>
        <v>17575.3</v>
      </c>
      <c r="U110" s="354">
        <f t="shared" si="33"/>
        <v>17915.599999999999</v>
      </c>
      <c r="V110" s="354">
        <f t="shared" si="33"/>
        <v>18121.099999999999</v>
      </c>
      <c r="W110" s="354">
        <f>W111+W112</f>
        <v>18355.900000000001</v>
      </c>
      <c r="X110" s="354">
        <f t="shared" si="33"/>
        <v>18698.400000000001</v>
      </c>
      <c r="Y110" s="849">
        <f t="shared" si="33"/>
        <v>18928</v>
      </c>
      <c r="Z110" s="849">
        <f t="shared" si="33"/>
        <v>19168.900000000001</v>
      </c>
      <c r="AA110" s="849">
        <f t="shared" si="33"/>
        <v>19385.5</v>
      </c>
      <c r="AB110" s="849">
        <f t="shared" si="33"/>
        <v>19612.599999999999</v>
      </c>
      <c r="AC110" s="849">
        <f t="shared" si="33"/>
        <v>19842.2</v>
      </c>
      <c r="AD110" s="849">
        <f t="shared" ref="AD110:AG110" si="34">AD111+AD112</f>
        <v>20078.099999999999</v>
      </c>
      <c r="AE110" s="849">
        <f t="shared" si="34"/>
        <v>20308.400000000001</v>
      </c>
      <c r="AF110" s="849">
        <f t="shared" si="34"/>
        <v>20543.300000000003</v>
      </c>
      <c r="AG110" s="848">
        <f t="shared" si="34"/>
        <v>20789</v>
      </c>
    </row>
    <row r="111" spans="4:33" x14ac:dyDescent="0.25">
      <c r="D111" s="671" t="s">
        <v>1951</v>
      </c>
      <c r="E111" s="605"/>
      <c r="F111" s="425"/>
      <c r="G111" s="425"/>
      <c r="H111" s="425"/>
      <c r="I111" s="429">
        <v>9624.7000000000007</v>
      </c>
      <c r="J111" s="429">
        <v>8995.7000000000007</v>
      </c>
      <c r="K111" s="429">
        <v>9425.4</v>
      </c>
      <c r="L111" s="429">
        <v>9783.7000000000007</v>
      </c>
      <c r="M111" s="429">
        <v>9878.7000000000007</v>
      </c>
      <c r="N111" s="429">
        <v>10170</v>
      </c>
      <c r="O111" s="429">
        <v>10447.700000000001</v>
      </c>
      <c r="P111" s="429">
        <v>10754.1</v>
      </c>
      <c r="Q111" s="429">
        <v>10886.7</v>
      </c>
      <c r="R111" s="429">
        <v>10988.9</v>
      </c>
      <c r="S111" s="429">
        <v>11271.4</v>
      </c>
      <c r="T111" s="429">
        <v>11317</v>
      </c>
      <c r="U111" s="429">
        <v>11565.4</v>
      </c>
      <c r="V111" s="429">
        <v>11733.3</v>
      </c>
      <c r="W111" s="429">
        <v>11899</v>
      </c>
      <c r="X111" s="429">
        <v>12032.8</v>
      </c>
      <c r="Y111" s="428">
        <v>12161.4</v>
      </c>
      <c r="Z111" s="428">
        <v>12302.6</v>
      </c>
      <c r="AA111" s="428">
        <v>12446.9</v>
      </c>
      <c r="AB111" s="428">
        <v>12592.1</v>
      </c>
      <c r="AC111" s="428">
        <v>12736.6</v>
      </c>
      <c r="AD111" s="428">
        <v>12880.6</v>
      </c>
      <c r="AE111" s="428">
        <v>13023.4</v>
      </c>
      <c r="AF111" s="428">
        <v>13165.7</v>
      </c>
      <c r="AG111" s="869">
        <v>13306.3</v>
      </c>
    </row>
    <row r="112" spans="4:33" x14ac:dyDescent="0.25">
      <c r="D112" s="256" t="s">
        <v>1955</v>
      </c>
      <c r="E112" s="555"/>
      <c r="F112" s="425"/>
      <c r="G112" s="425"/>
      <c r="H112" s="425"/>
      <c r="I112" s="429">
        <v>5510.1</v>
      </c>
      <c r="J112" s="429">
        <v>5269.8</v>
      </c>
      <c r="K112" s="429">
        <v>5518.1</v>
      </c>
      <c r="L112" s="429">
        <v>5535.6</v>
      </c>
      <c r="M112" s="429">
        <v>5521.1</v>
      </c>
      <c r="N112" s="429">
        <v>5789.6</v>
      </c>
      <c r="O112" s="429">
        <v>5877.9</v>
      </c>
      <c r="P112" s="429">
        <v>5923.2</v>
      </c>
      <c r="Q112" s="429">
        <v>5935.8</v>
      </c>
      <c r="R112" s="429">
        <v>6056.8</v>
      </c>
      <c r="S112" s="429">
        <v>6153.9</v>
      </c>
      <c r="T112" s="429">
        <v>6258.3</v>
      </c>
      <c r="U112" s="429">
        <v>6350.2</v>
      </c>
      <c r="V112" s="429">
        <v>6387.8</v>
      </c>
      <c r="W112" s="429">
        <v>6456.9</v>
      </c>
      <c r="X112" s="429">
        <v>6665.6</v>
      </c>
      <c r="Y112" s="428">
        <v>6766.6</v>
      </c>
      <c r="Z112" s="428">
        <v>6866.3</v>
      </c>
      <c r="AA112" s="428">
        <v>6938.6</v>
      </c>
      <c r="AB112" s="428">
        <v>7020.5</v>
      </c>
      <c r="AC112" s="428">
        <v>7105.6</v>
      </c>
      <c r="AD112" s="428">
        <v>7197.5</v>
      </c>
      <c r="AE112" s="428">
        <v>7285</v>
      </c>
      <c r="AF112" s="428">
        <v>7377.6</v>
      </c>
      <c r="AG112" s="869">
        <v>7482.7</v>
      </c>
    </row>
    <row r="113" spans="4:33" x14ac:dyDescent="0.25">
      <c r="D113" s="256" t="s">
        <v>1952</v>
      </c>
      <c r="E113" s="555"/>
      <c r="F113" s="425"/>
      <c r="G113" s="425"/>
      <c r="H113" s="425"/>
      <c r="I113" s="429">
        <v>14440.2</v>
      </c>
      <c r="J113" s="429">
        <v>13049.8</v>
      </c>
      <c r="K113" s="429">
        <v>14388.7</v>
      </c>
      <c r="L113" s="429">
        <v>14586</v>
      </c>
      <c r="M113" s="429">
        <v>15217.7</v>
      </c>
      <c r="N113" s="429">
        <v>15950.9</v>
      </c>
      <c r="O113" s="429">
        <v>16285.1</v>
      </c>
      <c r="P113" s="429">
        <v>16718.2</v>
      </c>
      <c r="Q113" s="429">
        <v>17030.599999999999</v>
      </c>
      <c r="R113" s="429">
        <v>17415.099999999999</v>
      </c>
      <c r="S113" s="429">
        <v>17684.2</v>
      </c>
      <c r="T113" s="429">
        <v>17917</v>
      </c>
      <c r="U113" s="429">
        <v>18269.599999999999</v>
      </c>
      <c r="V113" s="429">
        <v>18419</v>
      </c>
      <c r="W113" s="429">
        <v>18711.599999999999</v>
      </c>
      <c r="X113" s="429">
        <v>18910.599999999999</v>
      </c>
      <c r="Y113" s="428">
        <v>19051.2</v>
      </c>
      <c r="Z113" s="428">
        <v>19203.099999999999</v>
      </c>
      <c r="AA113" s="428">
        <v>19375.8</v>
      </c>
      <c r="AB113" s="428">
        <v>19556.2</v>
      </c>
      <c r="AC113" s="428">
        <v>19758.5</v>
      </c>
      <c r="AD113" s="428">
        <v>19957.7</v>
      </c>
      <c r="AE113" s="428">
        <v>20156.599999999999</v>
      </c>
      <c r="AF113" s="428">
        <v>20359.900000000001</v>
      </c>
      <c r="AG113" s="869">
        <v>20538</v>
      </c>
    </row>
    <row r="114" spans="4:33" x14ac:dyDescent="0.25">
      <c r="D114" s="721" t="s">
        <v>1956</v>
      </c>
      <c r="E114" s="578"/>
      <c r="F114" s="578"/>
      <c r="G114" s="578"/>
      <c r="H114" s="904"/>
      <c r="I114" s="861">
        <v>1736.3</v>
      </c>
      <c r="J114" s="861">
        <v>1597.1</v>
      </c>
      <c r="K114" s="861">
        <v>2041.1</v>
      </c>
      <c r="L114" s="861">
        <v>1947.4</v>
      </c>
      <c r="M114" s="861">
        <v>2280.4</v>
      </c>
      <c r="N114" s="861">
        <v>2580</v>
      </c>
      <c r="O114" s="861">
        <v>2541.1</v>
      </c>
      <c r="P114" s="861">
        <v>2555</v>
      </c>
      <c r="Q114" s="861">
        <v>2604.4</v>
      </c>
      <c r="R114" s="861">
        <v>2781.5</v>
      </c>
      <c r="S114" s="861">
        <v>2809</v>
      </c>
      <c r="T114" s="861">
        <v>2748.4</v>
      </c>
      <c r="U114" s="861">
        <v>2673.1</v>
      </c>
      <c r="V114" s="861">
        <v>2658</v>
      </c>
      <c r="W114" s="861">
        <v>2753</v>
      </c>
      <c r="X114" s="861">
        <v>2724.8</v>
      </c>
      <c r="Y114" s="868">
        <v>2745.4</v>
      </c>
      <c r="Z114" s="868">
        <v>2759.4</v>
      </c>
      <c r="AA114" s="868">
        <v>2765.4</v>
      </c>
      <c r="AB114" s="868">
        <v>2789.4</v>
      </c>
      <c r="AC114" s="868">
        <v>2801.2</v>
      </c>
      <c r="AD114" s="868">
        <v>2824.8</v>
      </c>
      <c r="AE114" s="868">
        <v>2852.6</v>
      </c>
      <c r="AF114" s="868">
        <v>2887</v>
      </c>
      <c r="AG114" s="870">
        <v>2884.1</v>
      </c>
    </row>
    <row r="115" spans="4:33" ht="18.75" customHeight="1" x14ac:dyDescent="0.25"/>
    <row r="116" spans="4:33" x14ac:dyDescent="0.25">
      <c r="D116" s="779"/>
      <c r="E116" s="605"/>
      <c r="F116" s="605"/>
      <c r="G116" s="605"/>
      <c r="H116" s="425"/>
      <c r="I116" s="425"/>
      <c r="J116" s="425"/>
      <c r="K116" s="425"/>
      <c r="L116" s="425"/>
      <c r="M116" s="425"/>
      <c r="N116" s="425"/>
      <c r="O116" s="425"/>
      <c r="P116" s="425"/>
      <c r="Q116" s="425"/>
      <c r="R116" s="425"/>
      <c r="S116" s="425"/>
      <c r="T116" s="425"/>
      <c r="U116" s="425"/>
      <c r="V116" s="425"/>
      <c r="W116" s="425"/>
      <c r="X116" s="425"/>
      <c r="Y116" s="425"/>
      <c r="Z116" s="425"/>
      <c r="AA116" s="425"/>
      <c r="AB116" s="425"/>
      <c r="AC116" s="425"/>
    </row>
    <row r="117" spans="4:33" x14ac:dyDescent="0.25">
      <c r="D117" s="509"/>
      <c r="AC117" s="35"/>
    </row>
    <row r="118" spans="4:33" x14ac:dyDescent="0.25">
      <c r="D118" s="1453" t="s">
        <v>511</v>
      </c>
      <c r="E118" s="1468"/>
      <c r="F118" s="1371">
        <v>2019</v>
      </c>
      <c r="G118" s="1372"/>
      <c r="H118" s="1373"/>
      <c r="I118" s="1372">
        <v>2020</v>
      </c>
      <c r="J118" s="1372"/>
      <c r="K118" s="1372"/>
      <c r="L118" s="1373"/>
      <c r="M118" s="1371">
        <v>2021</v>
      </c>
      <c r="N118" s="1372"/>
      <c r="O118" s="1372"/>
      <c r="P118" s="1372"/>
      <c r="Q118" s="1371">
        <v>2022</v>
      </c>
      <c r="R118" s="1403"/>
      <c r="S118" s="1403"/>
      <c r="T118" s="1373"/>
      <c r="U118" s="270"/>
      <c r="V118" s="270">
        <v>2023</v>
      </c>
      <c r="W118" s="552"/>
      <c r="X118" s="242"/>
      <c r="Y118" s="1368">
        <v>2024</v>
      </c>
      <c r="Z118" s="1381"/>
      <c r="AA118" s="1381"/>
      <c r="AB118" s="1370"/>
      <c r="AC118" s="1368">
        <v>2025</v>
      </c>
      <c r="AD118" s="1381"/>
      <c r="AE118" s="1381"/>
      <c r="AF118" s="1370"/>
      <c r="AG118" s="498">
        <v>2026</v>
      </c>
    </row>
    <row r="119" spans="4:33" x14ac:dyDescent="0.25">
      <c r="D119" s="1469"/>
      <c r="E119" s="1470"/>
      <c r="F119" s="195" t="s">
        <v>284</v>
      </c>
      <c r="G119" s="196" t="s">
        <v>238</v>
      </c>
      <c r="H119" s="197" t="s">
        <v>282</v>
      </c>
      <c r="I119" s="196" t="s">
        <v>283</v>
      </c>
      <c r="J119" s="196" t="s">
        <v>284</v>
      </c>
      <c r="K119" s="196" t="s">
        <v>238</v>
      </c>
      <c r="L119" s="197" t="s">
        <v>282</v>
      </c>
      <c r="M119" s="195" t="s">
        <v>283</v>
      </c>
      <c r="N119" s="196" t="s">
        <v>284</v>
      </c>
      <c r="O119" s="196" t="s">
        <v>238</v>
      </c>
      <c r="P119" s="196" t="s">
        <v>282</v>
      </c>
      <c r="Q119" s="195" t="s">
        <v>283</v>
      </c>
      <c r="R119" s="196" t="s">
        <v>284</v>
      </c>
      <c r="S119" s="196" t="s">
        <v>238</v>
      </c>
      <c r="T119" s="197" t="s">
        <v>282</v>
      </c>
      <c r="U119" s="195" t="s">
        <v>283</v>
      </c>
      <c r="V119" s="268" t="s">
        <v>284</v>
      </c>
      <c r="W119" s="252" t="s">
        <v>238</v>
      </c>
      <c r="X119" s="253" t="s">
        <v>282</v>
      </c>
      <c r="Y119" s="251" t="s">
        <v>283</v>
      </c>
      <c r="Z119" s="249" t="s">
        <v>284</v>
      </c>
      <c r="AA119" s="252" t="s">
        <v>238</v>
      </c>
      <c r="AB119" s="252" t="s">
        <v>282</v>
      </c>
      <c r="AC119" s="251" t="s">
        <v>283</v>
      </c>
      <c r="AD119" s="249" t="s">
        <v>284</v>
      </c>
      <c r="AE119" s="252" t="s">
        <v>238</v>
      </c>
      <c r="AF119" s="252" t="s">
        <v>282</v>
      </c>
      <c r="AG119" s="251" t="s">
        <v>283</v>
      </c>
    </row>
    <row r="120" spans="4:33" x14ac:dyDescent="0.25">
      <c r="D120" s="1475" t="s">
        <v>512</v>
      </c>
      <c r="E120" s="1476"/>
      <c r="F120" s="235"/>
      <c r="G120" s="291"/>
      <c r="H120" s="291"/>
      <c r="I120" s="291"/>
      <c r="J120" s="291"/>
      <c r="K120" s="291"/>
      <c r="L120" s="291"/>
      <c r="M120" s="291"/>
      <c r="N120" s="291"/>
      <c r="O120" s="291"/>
      <c r="P120" s="291"/>
      <c r="Q120" s="291"/>
      <c r="R120" s="291"/>
      <c r="S120" s="291"/>
      <c r="T120" s="269"/>
      <c r="U120" s="291"/>
      <c r="V120" s="291"/>
      <c r="W120" s="269"/>
      <c r="X120" s="269"/>
      <c r="Y120" s="269"/>
      <c r="Z120" s="269"/>
      <c r="AA120" s="269"/>
      <c r="AB120" s="269"/>
      <c r="AC120" s="291"/>
    </row>
    <row r="121" spans="4:33" x14ac:dyDescent="0.25">
      <c r="D121" s="516" t="s">
        <v>482</v>
      </c>
      <c r="F121" s="905"/>
      <c r="G121" s="946"/>
      <c r="H121" s="946">
        <f t="shared" ref="H121:X121" si="35">H10/H128</f>
        <v>0.11759515065945329</v>
      </c>
      <c r="I121" s="946">
        <f t="shared" si="35"/>
        <v>0.11879897315968442</v>
      </c>
      <c r="J121" s="946">
        <f t="shared" si="35"/>
        <v>0.11632832053393799</v>
      </c>
      <c r="K121" s="946">
        <f t="shared" si="35"/>
        <v>0.11840135478408127</v>
      </c>
      <c r="L121" s="946">
        <f t="shared" si="35"/>
        <v>0.12252813966462116</v>
      </c>
      <c r="M121" s="946">
        <f t="shared" si="35"/>
        <v>0.1306605059249549</v>
      </c>
      <c r="N121" s="946">
        <f t="shared" si="35"/>
        <v>0.13265203887386032</v>
      </c>
      <c r="O121" s="946">
        <f t="shared" si="35"/>
        <v>0.1346644712277115</v>
      </c>
      <c r="P121" s="946">
        <f t="shared" si="35"/>
        <v>0.13573367367115458</v>
      </c>
      <c r="Q121" s="946">
        <f t="shared" si="35"/>
        <v>0.1488843620641529</v>
      </c>
      <c r="R121" s="946">
        <f t="shared" si="35"/>
        <v>0.14668284362856288</v>
      </c>
      <c r="S121" s="944">
        <f t="shared" si="35"/>
        <v>0.14459192156637904</v>
      </c>
      <c r="T121" s="944">
        <f t="shared" si="35"/>
        <v>0.14154488043064295</v>
      </c>
      <c r="U121" s="944">
        <f t="shared" si="35"/>
        <v>0.12162546494833289</v>
      </c>
      <c r="V121" s="944">
        <f t="shared" si="35"/>
        <v>0.1199155392367658</v>
      </c>
      <c r="W121" s="944">
        <f t="shared" si="35"/>
        <v>0.11910968409022883</v>
      </c>
      <c r="X121" s="944">
        <f t="shared" si="35"/>
        <v>0.11891772774424493</v>
      </c>
      <c r="Y121" s="945">
        <f t="shared" ref="Y121:AC121" si="36">X121+Y122</f>
        <v>0.11891772774424493</v>
      </c>
      <c r="Z121" s="945">
        <f t="shared" si="36"/>
        <v>0.11891772774424493</v>
      </c>
      <c r="AA121" s="945">
        <f t="shared" si="36"/>
        <v>0.11891772774424493</v>
      </c>
      <c r="AB121" s="945">
        <f t="shared" si="36"/>
        <v>0.11891772774424493</v>
      </c>
      <c r="AC121" s="945">
        <f t="shared" si="36"/>
        <v>0.11891772774424493</v>
      </c>
      <c r="AD121" s="945">
        <f t="shared" ref="AD121" si="37">AC121+AD122</f>
        <v>0.11891772774424493</v>
      </c>
      <c r="AE121" s="945">
        <f t="shared" ref="AE121" si="38">AD121+AE122</f>
        <v>0.11891772774424493</v>
      </c>
      <c r="AF121" s="945">
        <f t="shared" ref="AF121" si="39">AE121+AF122</f>
        <v>0.11891772774424493</v>
      </c>
      <c r="AG121" s="945">
        <f t="shared" ref="AG121" si="40">AF121+AG122</f>
        <v>0.11891772774424493</v>
      </c>
    </row>
    <row r="122" spans="4:33" x14ac:dyDescent="0.25">
      <c r="D122" s="516" t="s">
        <v>895</v>
      </c>
      <c r="F122" s="905"/>
      <c r="G122" s="946"/>
      <c r="H122" s="946"/>
      <c r="I122" s="946"/>
      <c r="J122" s="946"/>
      <c r="K122" s="946"/>
      <c r="L122" s="946"/>
      <c r="M122" s="946"/>
      <c r="N122" s="946"/>
      <c r="O122" s="946"/>
      <c r="P122" s="946"/>
      <c r="Q122" s="946"/>
      <c r="R122" s="946"/>
      <c r="S122" s="944"/>
      <c r="T122" s="944"/>
      <c r="U122" s="944"/>
      <c r="V122" s="944"/>
      <c r="W122" s="946"/>
      <c r="X122" s="946"/>
      <c r="Y122" s="945"/>
      <c r="Z122" s="945"/>
      <c r="AA122" s="945"/>
      <c r="AB122" s="945"/>
      <c r="AC122" s="945"/>
      <c r="AD122" s="945"/>
      <c r="AE122" s="945"/>
      <c r="AF122" s="945"/>
      <c r="AG122" s="945"/>
    </row>
    <row r="123" spans="4:33" x14ac:dyDescent="0.25">
      <c r="D123" s="516" t="s">
        <v>483</v>
      </c>
      <c r="F123" s="905"/>
      <c r="G123" s="946"/>
      <c r="H123" s="946">
        <f t="shared" ref="H123:X123" si="41">H12/H133</f>
        <v>0.15049219029952995</v>
      </c>
      <c r="I123" s="946">
        <f t="shared" si="41"/>
        <v>0.15082140744507519</v>
      </c>
      <c r="J123" s="946">
        <f t="shared" si="41"/>
        <v>0.15364369322346355</v>
      </c>
      <c r="K123" s="946">
        <f t="shared" si="41"/>
        <v>0.15173662969906893</v>
      </c>
      <c r="L123" s="946">
        <f t="shared" si="41"/>
        <v>0.14977874752747813</v>
      </c>
      <c r="M123" s="946">
        <f t="shared" si="41"/>
        <v>0.15013551231746289</v>
      </c>
      <c r="N123" s="946">
        <f t="shared" si="41"/>
        <v>0.14928290766208252</v>
      </c>
      <c r="O123" s="946">
        <f t="shared" si="41"/>
        <v>0.14884645906435542</v>
      </c>
      <c r="P123" s="946">
        <f t="shared" si="41"/>
        <v>0.14893182240386402</v>
      </c>
      <c r="Q123" s="946">
        <f t="shared" si="41"/>
        <v>0.15097091386063236</v>
      </c>
      <c r="R123" s="946">
        <f t="shared" si="41"/>
        <v>0.15155480435454263</v>
      </c>
      <c r="S123" s="944">
        <f t="shared" si="41"/>
        <v>0.15145823735780856</v>
      </c>
      <c r="T123" s="944">
        <f t="shared" si="41"/>
        <v>0.15146328336612525</v>
      </c>
      <c r="U123" s="944">
        <f t="shared" si="41"/>
        <v>0.15183173745240419</v>
      </c>
      <c r="V123" s="944">
        <f t="shared" si="41"/>
        <v>0.1513684174694489</v>
      </c>
      <c r="W123" s="944">
        <f t="shared" si="41"/>
        <v>0.15093422706325932</v>
      </c>
      <c r="X123" s="944">
        <f t="shared" si="41"/>
        <v>0.15069651040415008</v>
      </c>
      <c r="Y123" s="945">
        <f t="shared" ref="Y123:AC123" si="42">X123</f>
        <v>0.15069651040415008</v>
      </c>
      <c r="Z123" s="945">
        <f t="shared" si="42"/>
        <v>0.15069651040415008</v>
      </c>
      <c r="AA123" s="945">
        <f t="shared" si="42"/>
        <v>0.15069651040415008</v>
      </c>
      <c r="AB123" s="945">
        <f t="shared" si="42"/>
        <v>0.15069651040415008</v>
      </c>
      <c r="AC123" s="945">
        <f t="shared" si="42"/>
        <v>0.15069651040415008</v>
      </c>
      <c r="AD123" s="945">
        <f t="shared" ref="AD123:AD124" si="43">AC123</f>
        <v>0.15069651040415008</v>
      </c>
      <c r="AE123" s="945">
        <f t="shared" ref="AE123:AE124" si="44">AD123</f>
        <v>0.15069651040415008</v>
      </c>
      <c r="AF123" s="945">
        <f t="shared" ref="AF123:AF124" si="45">AE123</f>
        <v>0.15069651040415008</v>
      </c>
      <c r="AG123" s="945">
        <f t="shared" ref="AG123:AG124" si="46">AF123</f>
        <v>0.15069651040415008</v>
      </c>
    </row>
    <row r="124" spans="4:33" x14ac:dyDescent="0.25">
      <c r="D124" s="516" t="s">
        <v>484</v>
      </c>
      <c r="F124" s="905"/>
      <c r="G124" s="946"/>
      <c r="H124" s="946">
        <f t="shared" ref="H124:X124" si="47">H14/H134</f>
        <v>1.2114807744750477E-2</v>
      </c>
      <c r="I124" s="946">
        <f t="shared" si="47"/>
        <v>1.2657965466969756E-2</v>
      </c>
      <c r="J124" s="946">
        <f t="shared" si="47"/>
        <v>9.9021178686146908E-3</v>
      </c>
      <c r="K124" s="946">
        <f t="shared" si="47"/>
        <v>1.0383088225121401E-2</v>
      </c>
      <c r="L124" s="946">
        <f t="shared" si="47"/>
        <v>1.0715231518262747E-2</v>
      </c>
      <c r="M124" s="946">
        <f t="shared" si="47"/>
        <v>1.0573214086228536E-2</v>
      </c>
      <c r="N124" s="946">
        <f t="shared" si="47"/>
        <v>1.1315975901046335E-2</v>
      </c>
      <c r="O124" s="946">
        <f t="shared" si="47"/>
        <v>1.1182000724588734E-2</v>
      </c>
      <c r="P124" s="946">
        <f t="shared" si="47"/>
        <v>1.1424674905193142E-2</v>
      </c>
      <c r="Q124" s="946">
        <f t="shared" si="47"/>
        <v>1.1796413514497435E-2</v>
      </c>
      <c r="R124" s="946">
        <f t="shared" si="47"/>
        <v>1.1645066637573143E-2</v>
      </c>
      <c r="S124" s="944">
        <f t="shared" si="47"/>
        <v>1.0868458850273124E-2</v>
      </c>
      <c r="T124" s="944">
        <f t="shared" si="47"/>
        <v>1.0096556343137802E-2</v>
      </c>
      <c r="U124" s="944">
        <f t="shared" si="47"/>
        <v>9.6882252485002412E-3</v>
      </c>
      <c r="V124" s="944">
        <f t="shared" si="47"/>
        <v>9.5227753949725831E-3</v>
      </c>
      <c r="W124" s="944">
        <f t="shared" si="47"/>
        <v>9.1865413956476356E-3</v>
      </c>
      <c r="X124" s="944">
        <f t="shared" si="47"/>
        <v>8.9666657855084729E-3</v>
      </c>
      <c r="Y124" s="945">
        <f t="shared" ref="Y124:AC124" si="48">X124</f>
        <v>8.9666657855084729E-3</v>
      </c>
      <c r="Z124" s="945">
        <f t="shared" si="48"/>
        <v>8.9666657855084729E-3</v>
      </c>
      <c r="AA124" s="945">
        <f t="shared" si="48"/>
        <v>8.9666657855084729E-3</v>
      </c>
      <c r="AB124" s="945">
        <f t="shared" si="48"/>
        <v>8.9666657855084729E-3</v>
      </c>
      <c r="AC124" s="945">
        <f t="shared" si="48"/>
        <v>8.9666657855084729E-3</v>
      </c>
      <c r="AD124" s="945">
        <f t="shared" si="43"/>
        <v>8.9666657855084729E-3</v>
      </c>
      <c r="AE124" s="945">
        <f t="shared" si="44"/>
        <v>8.9666657855084729E-3</v>
      </c>
      <c r="AF124" s="945">
        <f t="shared" si="45"/>
        <v>8.9666657855084729E-3</v>
      </c>
      <c r="AG124" s="945">
        <f t="shared" si="46"/>
        <v>8.9666657855084729E-3</v>
      </c>
    </row>
    <row r="125" spans="4:33" x14ac:dyDescent="0.25">
      <c r="D125" s="412" t="s">
        <v>485</v>
      </c>
      <c r="F125" s="905"/>
      <c r="G125" s="946"/>
      <c r="H125" s="946">
        <f t="shared" ref="H125:X125" si="49">H16/H135</f>
        <v>0.1161666500548191</v>
      </c>
      <c r="I125" s="946">
        <f t="shared" si="49"/>
        <v>0.10825625214114422</v>
      </c>
      <c r="J125" s="946">
        <f t="shared" si="49"/>
        <v>0.12146635053802662</v>
      </c>
      <c r="K125" s="946">
        <f t="shared" si="49"/>
        <v>0.10805604203152365</v>
      </c>
      <c r="L125" s="946">
        <f t="shared" si="49"/>
        <v>0.12181977082928724</v>
      </c>
      <c r="M125" s="946">
        <f t="shared" si="49"/>
        <v>0.11063848447640764</v>
      </c>
      <c r="N125" s="946">
        <f t="shared" si="49"/>
        <v>0.10992248062015504</v>
      </c>
      <c r="O125" s="946">
        <f t="shared" si="49"/>
        <v>0.11010979497068199</v>
      </c>
      <c r="P125" s="946">
        <f t="shared" si="49"/>
        <v>0.11894324853228962</v>
      </c>
      <c r="Q125" s="946">
        <f t="shared" si="49"/>
        <v>0.12663185378590078</v>
      </c>
      <c r="R125" s="944">
        <f t="shared" si="49"/>
        <v>0.13978069387021391</v>
      </c>
      <c r="S125" s="944">
        <f t="shared" si="49"/>
        <v>0.13656105375578498</v>
      </c>
      <c r="T125" s="944">
        <f t="shared" si="49"/>
        <v>0.13593363411439383</v>
      </c>
      <c r="U125" s="944">
        <f t="shared" si="49"/>
        <v>0.14537428453855075</v>
      </c>
      <c r="V125" s="944">
        <f t="shared" si="49"/>
        <v>0.15173062452972161</v>
      </c>
      <c r="W125" s="944">
        <f t="shared" si="49"/>
        <v>0.15157009210240047</v>
      </c>
      <c r="X125" s="944">
        <f t="shared" si="49"/>
        <v>0.14744403782409476</v>
      </c>
      <c r="Y125" s="945">
        <f t="shared" ref="Y125:AC125" si="50">X125+Y126</f>
        <v>0.14744403782409476</v>
      </c>
      <c r="Z125" s="945">
        <f t="shared" si="50"/>
        <v>0.14744403782409476</v>
      </c>
      <c r="AA125" s="945">
        <f t="shared" si="50"/>
        <v>0.14744403782409476</v>
      </c>
      <c r="AB125" s="945">
        <f t="shared" si="50"/>
        <v>0.14744403782409476</v>
      </c>
      <c r="AC125" s="945">
        <f t="shared" si="50"/>
        <v>0.14744403782409476</v>
      </c>
      <c r="AD125" s="945">
        <f t="shared" ref="AD125" si="51">AC125+AD126</f>
        <v>0.14744403782409476</v>
      </c>
      <c r="AE125" s="945">
        <f t="shared" ref="AE125" si="52">AD125+AE126</f>
        <v>0.14744403782409476</v>
      </c>
      <c r="AF125" s="945">
        <f t="shared" ref="AF125" si="53">AE125+AF126</f>
        <v>0.14744403782409476</v>
      </c>
      <c r="AG125" s="945">
        <f t="shared" ref="AG125" si="54">AF125+AG126</f>
        <v>0.14744403782409476</v>
      </c>
    </row>
    <row r="126" spans="4:33" x14ac:dyDescent="0.25">
      <c r="D126" s="412" t="s">
        <v>1759</v>
      </c>
      <c r="F126" s="905"/>
      <c r="G126" s="946"/>
      <c r="H126" s="946"/>
      <c r="I126" s="946"/>
      <c r="J126" s="946"/>
      <c r="K126" s="946"/>
      <c r="L126" s="946"/>
      <c r="M126" s="946"/>
      <c r="N126" s="946"/>
      <c r="O126" s="946"/>
      <c r="P126" s="946"/>
      <c r="Q126" s="946"/>
      <c r="R126" s="946"/>
      <c r="S126" s="946"/>
      <c r="T126" s="946"/>
      <c r="U126" s="946">
        <v>-1.2E-2</v>
      </c>
      <c r="V126" s="946"/>
      <c r="W126" s="946"/>
      <c r="X126" s="946"/>
      <c r="Y126" s="945"/>
      <c r="Z126" s="945"/>
      <c r="AA126" s="945"/>
      <c r="AB126" s="945"/>
      <c r="AC126" s="945"/>
      <c r="AD126" s="945"/>
      <c r="AE126" s="945"/>
      <c r="AF126" s="945"/>
      <c r="AG126" s="945"/>
    </row>
    <row r="127" spans="4:33" x14ac:dyDescent="0.25">
      <c r="D127" s="273" t="s">
        <v>513</v>
      </c>
      <c r="F127" s="257"/>
      <c r="G127" s="216"/>
      <c r="H127" s="216"/>
      <c r="I127" s="216"/>
      <c r="J127" s="216"/>
      <c r="K127" s="216"/>
      <c r="L127" s="216"/>
      <c r="M127" s="216"/>
      <c r="N127" s="216"/>
      <c r="O127" s="216"/>
      <c r="P127" s="216"/>
      <c r="Q127" s="216"/>
      <c r="R127" s="216"/>
      <c r="S127" s="216"/>
      <c r="T127" s="216"/>
      <c r="U127" s="216"/>
      <c r="V127" s="216"/>
      <c r="W127" s="216"/>
      <c r="X127" s="216"/>
      <c r="Y127" s="216"/>
      <c r="Z127" s="216"/>
      <c r="AA127" s="216"/>
      <c r="AB127" s="216"/>
      <c r="AC127" s="216"/>
    </row>
    <row r="128" spans="4:33" ht="14.85" customHeight="1" x14ac:dyDescent="0.25">
      <c r="D128" s="671" t="s">
        <v>514</v>
      </c>
      <c r="F128" s="893">
        <f>SUM(F129:F132)</f>
        <v>14456.2</v>
      </c>
      <c r="G128" s="425">
        <f t="shared" ref="G128:O128" si="55">SUM(G129:G132)</f>
        <v>14559</v>
      </c>
      <c r="H128" s="425">
        <f t="shared" si="55"/>
        <v>14731.900000000001</v>
      </c>
      <c r="I128" s="425">
        <f t="shared" si="55"/>
        <v>14880.6</v>
      </c>
      <c r="J128" s="425">
        <f t="shared" si="55"/>
        <v>14024.100000000002</v>
      </c>
      <c r="K128" s="425">
        <f t="shared" si="55"/>
        <v>14762.500000000002</v>
      </c>
      <c r="L128" s="425">
        <f t="shared" si="55"/>
        <v>15236.499999999998</v>
      </c>
      <c r="M128" s="425">
        <f t="shared" si="55"/>
        <v>15409.400000000001</v>
      </c>
      <c r="N128" s="425">
        <f t="shared" si="55"/>
        <v>15969.600000000002</v>
      </c>
      <c r="O128" s="425">
        <f t="shared" si="55"/>
        <v>16336.9</v>
      </c>
      <c r="P128" s="425">
        <f t="shared" ref="P128:T128" si="56">SUM(P129:P132)</f>
        <v>16689.3</v>
      </c>
      <c r="Q128" s="425">
        <f t="shared" si="56"/>
        <v>16837.900000000001</v>
      </c>
      <c r="R128" s="425">
        <f t="shared" si="56"/>
        <v>17061.3</v>
      </c>
      <c r="S128" s="317">
        <f t="shared" si="56"/>
        <v>17441.5</v>
      </c>
      <c r="T128" s="317">
        <f t="shared" si="56"/>
        <v>17592.3</v>
      </c>
      <c r="U128" s="317">
        <f t="shared" ref="U128:W128" si="57">SUM(U129:U132)</f>
        <v>17932.099999999999</v>
      </c>
      <c r="V128" s="317">
        <f t="shared" si="57"/>
        <v>18138.599999999999</v>
      </c>
      <c r="W128" s="317">
        <f t="shared" si="57"/>
        <v>18375.5</v>
      </c>
      <c r="X128" s="317">
        <f t="shared" ref="X128" si="58">SUM(X129:X132)</f>
        <v>18605.3</v>
      </c>
      <c r="Y128" s="312"/>
      <c r="Z128" s="312"/>
      <c r="AA128" s="312"/>
      <c r="AB128" s="312"/>
      <c r="AC128" s="312"/>
      <c r="AD128" s="312"/>
      <c r="AE128" s="312"/>
      <c r="AF128" s="312"/>
      <c r="AG128" s="312"/>
    </row>
    <row r="129" spans="4:33" x14ac:dyDescent="0.25">
      <c r="D129" s="771" t="s">
        <v>788</v>
      </c>
      <c r="E129" s="222" t="s">
        <v>784</v>
      </c>
      <c r="F129" s="893">
        <f>'Haver Pivoted'!GQ81</f>
        <v>9284.9</v>
      </c>
      <c r="G129" s="425">
        <f>'Haver Pivoted'!GR81</f>
        <v>9340.9</v>
      </c>
      <c r="H129" s="425">
        <f>'Haver Pivoted'!GS81</f>
        <v>9488.2000000000007</v>
      </c>
      <c r="I129" s="425">
        <f>'Haver Pivoted'!GT81</f>
        <v>9635.9</v>
      </c>
      <c r="J129" s="425">
        <f>'Haver Pivoted'!GU81</f>
        <v>9004.6</v>
      </c>
      <c r="K129" s="425">
        <f>'Haver Pivoted'!GV81</f>
        <v>9440.7000000000007</v>
      </c>
      <c r="L129" s="425">
        <f>'Haver Pivoted'!GW81</f>
        <v>9807.7999999999993</v>
      </c>
      <c r="M129" s="425">
        <f>'Haver Pivoted'!GX81</f>
        <v>9888.4</v>
      </c>
      <c r="N129" s="425">
        <f>'Haver Pivoted'!GY81</f>
        <v>10180</v>
      </c>
      <c r="O129" s="425">
        <f>'Haver Pivoted'!GZ81</f>
        <v>10459.1</v>
      </c>
      <c r="P129" s="425">
        <f>'Haver Pivoted'!HA81</f>
        <v>10766</v>
      </c>
      <c r="Q129" s="425">
        <f>'Haver Pivoted'!HB81</f>
        <v>10902.1</v>
      </c>
      <c r="R129" s="425">
        <f>'Haver Pivoted'!HC81</f>
        <v>11004.6</v>
      </c>
      <c r="S129" s="317">
        <f>'Haver Pivoted'!HD81</f>
        <v>11287.6</v>
      </c>
      <c r="T129" s="317">
        <f>'Haver Pivoted'!HE81</f>
        <v>11334.1</v>
      </c>
      <c r="U129" s="317">
        <f>'Haver Pivoted'!HF81</f>
        <v>11581.9</v>
      </c>
      <c r="V129" s="317">
        <f>'Haver Pivoted'!HG81</f>
        <v>11750.8</v>
      </c>
      <c r="W129" s="317">
        <f>'Haver Pivoted'!HH81</f>
        <v>11935</v>
      </c>
      <c r="X129" s="317">
        <f>'Haver Pivoted'!HI81</f>
        <v>12067.3</v>
      </c>
      <c r="Y129" s="312"/>
      <c r="Z129" s="312"/>
      <c r="AA129" s="312"/>
      <c r="AB129" s="312"/>
      <c r="AC129" s="312"/>
      <c r="AD129" s="312"/>
      <c r="AE129" s="312"/>
      <c r="AF129" s="312"/>
      <c r="AG129" s="312"/>
    </row>
    <row r="130" spans="4:33" x14ac:dyDescent="0.25">
      <c r="D130" s="771" t="s">
        <v>515</v>
      </c>
      <c r="E130" s="222" t="s">
        <v>785</v>
      </c>
      <c r="F130" s="893">
        <f>'Haver Pivoted'!GQ82</f>
        <v>1533.5</v>
      </c>
      <c r="G130" s="425">
        <f>'Haver Pivoted'!GR82</f>
        <v>1570.1</v>
      </c>
      <c r="H130" s="425">
        <f>'Haver Pivoted'!GS82</f>
        <v>1581.1</v>
      </c>
      <c r="I130" s="425">
        <f>'Haver Pivoted'!GT82</f>
        <v>1577.7</v>
      </c>
      <c r="J130" s="425">
        <f>'Haver Pivoted'!GU82</f>
        <v>1411.5</v>
      </c>
      <c r="K130" s="425">
        <f>'Haver Pivoted'!GV82</f>
        <v>1691.6</v>
      </c>
      <c r="L130" s="425">
        <f>'Haver Pivoted'!GW82</f>
        <v>1654.4</v>
      </c>
      <c r="M130" s="425">
        <f>'Haver Pivoted'!GX82</f>
        <v>1650.2</v>
      </c>
      <c r="N130" s="425">
        <f>'Haver Pivoted'!GY82</f>
        <v>1784.1</v>
      </c>
      <c r="O130" s="425">
        <f>'Haver Pivoted'!GZ82</f>
        <v>1792.8</v>
      </c>
      <c r="P130" s="425">
        <f>'Haver Pivoted'!HA82</f>
        <v>1769.2</v>
      </c>
      <c r="Q130" s="425">
        <f>'Haver Pivoted'!HB82</f>
        <v>1756.4</v>
      </c>
      <c r="R130" s="425">
        <f>'Haver Pivoted'!HC82</f>
        <v>1774.4</v>
      </c>
      <c r="S130" s="317">
        <f>'Haver Pivoted'!HD82</f>
        <v>1807.4</v>
      </c>
      <c r="T130" s="317">
        <f>'Haver Pivoted'!HE82</f>
        <v>1825.3</v>
      </c>
      <c r="U130" s="317">
        <f>'Haver Pivoted'!HF82</f>
        <v>1827.4</v>
      </c>
      <c r="V130" s="317">
        <f>'Haver Pivoted'!HG82</f>
        <v>1824.1</v>
      </c>
      <c r="W130" s="317">
        <f>'Haver Pivoted'!HH82</f>
        <v>1859.6</v>
      </c>
      <c r="X130" s="317">
        <f>'Haver Pivoted'!HI82</f>
        <v>1882.6</v>
      </c>
      <c r="Y130" s="312"/>
      <c r="Z130" s="312"/>
      <c r="AA130" s="312"/>
      <c r="AB130" s="312"/>
      <c r="AC130" s="312"/>
      <c r="AD130" s="312"/>
      <c r="AE130" s="312"/>
      <c r="AF130" s="312"/>
      <c r="AG130" s="312"/>
    </row>
    <row r="131" spans="4:33" x14ac:dyDescent="0.25">
      <c r="D131" s="771" t="s">
        <v>516</v>
      </c>
      <c r="E131" s="222" t="s">
        <v>791</v>
      </c>
      <c r="F131" s="893">
        <f>'Haver Pivoted'!GQ83</f>
        <v>674.7</v>
      </c>
      <c r="G131" s="425">
        <f>'Haver Pivoted'!GR83</f>
        <v>685.7</v>
      </c>
      <c r="H131" s="425">
        <f>'Haver Pivoted'!GS83</f>
        <v>709.8</v>
      </c>
      <c r="I131" s="425">
        <f>'Haver Pivoted'!GT83</f>
        <v>740.9</v>
      </c>
      <c r="J131" s="425">
        <f>'Haver Pivoted'!GU83</f>
        <v>738.2</v>
      </c>
      <c r="K131" s="425">
        <f>'Haver Pivoted'!GV83</f>
        <v>765.2</v>
      </c>
      <c r="L131" s="425">
        <f>'Haver Pivoted'!GW83</f>
        <v>780.3</v>
      </c>
      <c r="M131" s="425">
        <f>'Haver Pivoted'!GX83</f>
        <v>791.6</v>
      </c>
      <c r="N131" s="425">
        <f>'Haver Pivoted'!GY83</f>
        <v>807.2</v>
      </c>
      <c r="O131" s="425">
        <f>'Haver Pivoted'!GZ83</f>
        <v>822.4</v>
      </c>
      <c r="P131" s="425">
        <f>'Haver Pivoted'!HA83</f>
        <v>835.5</v>
      </c>
      <c r="Q131" s="425">
        <f>'Haver Pivoted'!HB83</f>
        <v>837.2</v>
      </c>
      <c r="R131" s="425">
        <f>'Haver Pivoted'!HC83</f>
        <v>875.3</v>
      </c>
      <c r="S131" s="317">
        <f>'Haver Pivoted'!HD83</f>
        <v>893.1</v>
      </c>
      <c r="T131" s="317">
        <f>'Haver Pivoted'!HE83</f>
        <v>907.5</v>
      </c>
      <c r="U131" s="317">
        <f>'Haver Pivoted'!HF83</f>
        <v>945.8</v>
      </c>
      <c r="V131" s="317">
        <f>'Haver Pivoted'!HG83</f>
        <v>961.1</v>
      </c>
      <c r="W131" s="317">
        <f>'Haver Pivoted'!HH83</f>
        <v>974.4</v>
      </c>
      <c r="X131" s="317">
        <f>'Haver Pivoted'!HI83</f>
        <v>988.1</v>
      </c>
      <c r="Y131" s="312"/>
      <c r="Z131" s="312"/>
      <c r="AA131" s="312"/>
      <c r="AB131" s="312"/>
      <c r="AC131" s="312"/>
      <c r="AD131" s="312"/>
      <c r="AE131" s="312"/>
      <c r="AF131" s="312"/>
      <c r="AG131" s="312"/>
    </row>
    <row r="132" spans="4:33" x14ac:dyDescent="0.25">
      <c r="D132" s="771" t="s">
        <v>517</v>
      </c>
      <c r="E132" s="222" t="s">
        <v>787</v>
      </c>
      <c r="F132" s="893">
        <f>'Haver Pivoted'!GQ84</f>
        <v>2963.1</v>
      </c>
      <c r="G132" s="425">
        <f>'Haver Pivoted'!GR84</f>
        <v>2962.3</v>
      </c>
      <c r="H132" s="425">
        <f>'Haver Pivoted'!GS84</f>
        <v>2952.8</v>
      </c>
      <c r="I132" s="425">
        <f>'Haver Pivoted'!GT84</f>
        <v>2926.1</v>
      </c>
      <c r="J132" s="425">
        <f>'Haver Pivoted'!GU84</f>
        <v>2869.8</v>
      </c>
      <c r="K132" s="425">
        <f>'Haver Pivoted'!GV84</f>
        <v>2865</v>
      </c>
      <c r="L132" s="425">
        <f>'Haver Pivoted'!GW84</f>
        <v>2994</v>
      </c>
      <c r="M132" s="425">
        <f>'Haver Pivoted'!GX84</f>
        <v>3079.2</v>
      </c>
      <c r="N132" s="425">
        <f>'Haver Pivoted'!GY84</f>
        <v>3198.3</v>
      </c>
      <c r="O132" s="425">
        <f>'Haver Pivoted'!GZ84</f>
        <v>3262.6</v>
      </c>
      <c r="P132" s="425">
        <f>'Haver Pivoted'!HA84</f>
        <v>3318.6</v>
      </c>
      <c r="Q132" s="425">
        <f>'Haver Pivoted'!HB84</f>
        <v>3342.2</v>
      </c>
      <c r="R132" s="425">
        <f>'Haver Pivoted'!HC84</f>
        <v>3407</v>
      </c>
      <c r="S132" s="317">
        <f>'Haver Pivoted'!HD84</f>
        <v>3453.4</v>
      </c>
      <c r="T132" s="317">
        <f>'Haver Pivoted'!HE84</f>
        <v>3525.4</v>
      </c>
      <c r="U132" s="317">
        <f>'Haver Pivoted'!HF84</f>
        <v>3577</v>
      </c>
      <c r="V132" s="317">
        <f>'Haver Pivoted'!HG84</f>
        <v>3602.6</v>
      </c>
      <c r="W132" s="317">
        <f>'Haver Pivoted'!HH84</f>
        <v>3606.5</v>
      </c>
      <c r="X132" s="317">
        <f>'Haver Pivoted'!HI84</f>
        <v>3667.3</v>
      </c>
      <c r="Y132" s="312"/>
      <c r="Z132" s="312"/>
      <c r="AA132" s="312"/>
      <c r="AB132" s="312"/>
      <c r="AC132" s="312"/>
      <c r="AD132" s="312"/>
      <c r="AE132" s="312"/>
      <c r="AF132" s="312"/>
      <c r="AG132" s="312"/>
    </row>
    <row r="133" spans="4:33" x14ac:dyDescent="0.25">
      <c r="D133" s="671" t="s">
        <v>503</v>
      </c>
      <c r="F133" s="893">
        <f>F129</f>
        <v>9284.9</v>
      </c>
      <c r="G133" s="425">
        <f t="shared" ref="G133:O133" si="59">G129</f>
        <v>9340.9</v>
      </c>
      <c r="H133" s="425">
        <f t="shared" si="59"/>
        <v>9488.2000000000007</v>
      </c>
      <c r="I133" s="425">
        <f t="shared" si="59"/>
        <v>9635.9</v>
      </c>
      <c r="J133" s="425">
        <f t="shared" si="59"/>
        <v>9004.6</v>
      </c>
      <c r="K133" s="425">
        <f t="shared" si="59"/>
        <v>9440.7000000000007</v>
      </c>
      <c r="L133" s="425">
        <f t="shared" si="59"/>
        <v>9807.7999999999993</v>
      </c>
      <c r="M133" s="425">
        <f t="shared" si="59"/>
        <v>9888.4</v>
      </c>
      <c r="N133" s="425">
        <f t="shared" si="59"/>
        <v>10180</v>
      </c>
      <c r="O133" s="425">
        <f t="shared" si="59"/>
        <v>10459.1</v>
      </c>
      <c r="P133" s="425">
        <f t="shared" ref="P133:T133" si="60">P129</f>
        <v>10766</v>
      </c>
      <c r="Q133" s="425">
        <f t="shared" si="60"/>
        <v>10902.1</v>
      </c>
      <c r="R133" s="425">
        <f t="shared" si="60"/>
        <v>11004.6</v>
      </c>
      <c r="S133" s="317">
        <f t="shared" si="60"/>
        <v>11287.6</v>
      </c>
      <c r="T133" s="317">
        <f t="shared" si="60"/>
        <v>11334.1</v>
      </c>
      <c r="U133" s="317">
        <f t="shared" ref="U133:W133" si="61">U129</f>
        <v>11581.9</v>
      </c>
      <c r="V133" s="317">
        <f t="shared" si="61"/>
        <v>11750.8</v>
      </c>
      <c r="W133" s="317">
        <f t="shared" si="61"/>
        <v>11935</v>
      </c>
      <c r="X133" s="317">
        <f t="shared" ref="X133" si="62">X129</f>
        <v>12067.3</v>
      </c>
      <c r="Y133" s="312"/>
      <c r="Z133" s="312"/>
      <c r="AA133" s="312"/>
      <c r="AB133" s="312"/>
      <c r="AC133" s="312"/>
      <c r="AD133" s="312"/>
      <c r="AE133" s="312"/>
      <c r="AF133" s="312"/>
      <c r="AG133" s="312"/>
    </row>
    <row r="134" spans="4:33" x14ac:dyDescent="0.25">
      <c r="D134" s="671" t="s">
        <v>504</v>
      </c>
      <c r="E134" s="222" t="s">
        <v>521</v>
      </c>
      <c r="F134" s="893">
        <f>'Haver Pivoted'!GQ5</f>
        <v>14336.8</v>
      </c>
      <c r="G134" s="425">
        <f>'Haver Pivoted'!GR5</f>
        <v>14517.7</v>
      </c>
      <c r="H134" s="425">
        <f>'Haver Pivoted'!GS5</f>
        <v>14668</v>
      </c>
      <c r="I134" s="425">
        <f>'Haver Pivoted'!GT5</f>
        <v>14473.1</v>
      </c>
      <c r="J134" s="425">
        <f>'Haver Pivoted'!GU5</f>
        <v>13168.9</v>
      </c>
      <c r="K134" s="425">
        <f>'Haver Pivoted'!GV5</f>
        <v>14456.2</v>
      </c>
      <c r="L134" s="425">
        <f>'Haver Pivoted'!GW5</f>
        <v>14726.7</v>
      </c>
      <c r="M134" s="425">
        <f>'Haver Pivoted'!GX5</f>
        <v>15217.7</v>
      </c>
      <c r="N134" s="425">
        <f>'Haver Pivoted'!GY5</f>
        <v>15950.9</v>
      </c>
      <c r="O134" s="425">
        <f>'Haver Pivoted'!GZ5</f>
        <v>16285.1</v>
      </c>
      <c r="P134" s="425">
        <f>'Haver Pivoted'!HA5</f>
        <v>16718.2</v>
      </c>
      <c r="Q134" s="425">
        <f>'Haver Pivoted'!HB5</f>
        <v>17030.599999999999</v>
      </c>
      <c r="R134" s="425">
        <f>'Haver Pivoted'!HC5</f>
        <v>17415.099999999999</v>
      </c>
      <c r="S134" s="317">
        <f>'Haver Pivoted'!HD5</f>
        <v>17684.2</v>
      </c>
      <c r="T134" s="317">
        <f>'Haver Pivoted'!HE5</f>
        <v>17917</v>
      </c>
      <c r="U134" s="317">
        <f>'Haver Pivoted'!HF5</f>
        <v>18269.599999999999</v>
      </c>
      <c r="V134" s="317">
        <f>'Haver Pivoted'!HG5</f>
        <v>18419</v>
      </c>
      <c r="W134" s="317">
        <f>'Haver Pivoted'!HH5</f>
        <v>18679.5</v>
      </c>
      <c r="X134" s="317">
        <f>'Haver Pivoted'!HI5</f>
        <v>18914.5</v>
      </c>
      <c r="Y134" s="312"/>
      <c r="Z134" s="312"/>
      <c r="AA134" s="312"/>
      <c r="AB134" s="312"/>
      <c r="AC134" s="312"/>
      <c r="AD134" s="312"/>
      <c r="AE134" s="312"/>
      <c r="AF134" s="312"/>
      <c r="AG134" s="312"/>
    </row>
    <row r="135" spans="4:33" x14ac:dyDescent="0.25">
      <c r="D135" s="671" t="s">
        <v>518</v>
      </c>
      <c r="E135" s="222" t="s">
        <v>786</v>
      </c>
      <c r="F135" s="893">
        <f>'Haver Pivoted'!GQ85</f>
        <v>1896.6</v>
      </c>
      <c r="G135" s="425">
        <f>'Haver Pivoted'!GR85</f>
        <v>1975</v>
      </c>
      <c r="H135" s="425">
        <f>'Haver Pivoted'!GS85</f>
        <v>2006.6</v>
      </c>
      <c r="I135" s="425">
        <f>'Haver Pivoted'!GT85</f>
        <v>1751.4</v>
      </c>
      <c r="J135" s="425">
        <f>'Haver Pivoted'!GU85</f>
        <v>1644.9</v>
      </c>
      <c r="K135" s="425">
        <f>'Haver Pivoted'!GV85</f>
        <v>2284</v>
      </c>
      <c r="L135" s="425">
        <f>'Haver Pivoted'!GW85</f>
        <v>2059.6</v>
      </c>
      <c r="M135" s="425">
        <f>'Haver Pivoted'!GX85</f>
        <v>2280.4</v>
      </c>
      <c r="N135" s="425">
        <f>'Haver Pivoted'!GY85</f>
        <v>2580</v>
      </c>
      <c r="O135" s="425">
        <f>'Haver Pivoted'!GZ85</f>
        <v>2541.1</v>
      </c>
      <c r="P135" s="425">
        <f>'Haver Pivoted'!HA85</f>
        <v>2555</v>
      </c>
      <c r="Q135" s="425">
        <f>'Haver Pivoted'!HB85</f>
        <v>2604.4</v>
      </c>
      <c r="R135" s="317">
        <f>'Haver Pivoted'!HC85</f>
        <v>2781.5</v>
      </c>
      <c r="S135" s="317">
        <f>'Haver Pivoted'!HD85</f>
        <v>2809</v>
      </c>
      <c r="T135" s="317">
        <f>'Haver Pivoted'!HE85</f>
        <v>2748.4</v>
      </c>
      <c r="U135" s="317">
        <f>'Haver Pivoted'!HF85</f>
        <v>2673.1</v>
      </c>
      <c r="V135" s="317">
        <f>'Haver Pivoted'!HG85</f>
        <v>2658</v>
      </c>
      <c r="W135" s="317">
        <f>'Haver Pivoted'!HH85</f>
        <v>2757.8</v>
      </c>
      <c r="X135" s="317">
        <f>'Haver Pivoted'!HI85</f>
        <v>2900.3</v>
      </c>
      <c r="Y135" s="312"/>
      <c r="Z135" s="312"/>
      <c r="AA135" s="312"/>
      <c r="AB135" s="312"/>
      <c r="AC135" s="312"/>
      <c r="AD135" s="312"/>
      <c r="AE135" s="312"/>
      <c r="AF135" s="312"/>
      <c r="AG135" s="312"/>
    </row>
    <row r="136" spans="4:33" x14ac:dyDescent="0.25">
      <c r="D136" s="273" t="s">
        <v>519</v>
      </c>
      <c r="F136" s="257"/>
      <c r="G136" s="216"/>
      <c r="H136" s="216"/>
      <c r="I136" s="216"/>
      <c r="J136" s="216"/>
      <c r="K136" s="216"/>
      <c r="L136" s="216"/>
      <c r="M136" s="216"/>
      <c r="N136" s="216"/>
      <c r="O136" s="216"/>
      <c r="P136" s="216"/>
      <c r="Q136" s="216"/>
      <c r="R136" s="216"/>
      <c r="S136" s="216"/>
      <c r="T136" s="216"/>
      <c r="U136" s="216"/>
      <c r="V136" s="216"/>
      <c r="W136" s="216"/>
      <c r="X136" s="216"/>
      <c r="Y136" s="216"/>
      <c r="Z136" s="216"/>
      <c r="AA136" s="216"/>
      <c r="AB136" s="216"/>
      <c r="AC136" s="216"/>
      <c r="AD136" s="216"/>
      <c r="AE136" s="216"/>
      <c r="AF136" s="216"/>
      <c r="AG136" s="216"/>
    </row>
    <row r="137" spans="4:33" x14ac:dyDescent="0.25">
      <c r="D137" s="956" t="s">
        <v>486</v>
      </c>
      <c r="F137" s="905">
        <f t="shared" ref="F137:X137" si="63">F21/F128</f>
        <v>3.6876910944784937E-2</v>
      </c>
      <c r="G137" s="946">
        <f t="shared" si="63"/>
        <v>3.4178171577718248E-2</v>
      </c>
      <c r="H137" s="946">
        <f t="shared" si="63"/>
        <v>3.3125394551958669E-2</v>
      </c>
      <c r="I137" s="946">
        <f t="shared" si="63"/>
        <v>3.2807816889103933E-2</v>
      </c>
      <c r="J137" s="946">
        <f t="shared" si="63"/>
        <v>3.4262448214145647E-2</v>
      </c>
      <c r="K137" s="946">
        <f t="shared" si="63"/>
        <v>3.4919559695173574E-2</v>
      </c>
      <c r="L137" s="946">
        <f t="shared" si="63"/>
        <v>3.4647064614576839E-2</v>
      </c>
      <c r="M137" s="946">
        <f t="shared" si="63"/>
        <v>3.6614014822121559E-2</v>
      </c>
      <c r="N137" s="946">
        <f t="shared" si="63"/>
        <v>3.6669672377517282E-2</v>
      </c>
      <c r="O137" s="946">
        <f t="shared" si="63"/>
        <v>3.6102320513683742E-2</v>
      </c>
      <c r="P137" s="946">
        <f t="shared" si="63"/>
        <v>3.8126224587010836E-2</v>
      </c>
      <c r="Q137" s="946">
        <f t="shared" si="63"/>
        <v>3.8953788774134537E-2</v>
      </c>
      <c r="R137" s="946">
        <f t="shared" si="63"/>
        <v>3.8396839631212161E-2</v>
      </c>
      <c r="S137" s="944">
        <f t="shared" si="63"/>
        <v>3.5272195625376257E-2</v>
      </c>
      <c r="T137" s="944">
        <f t="shared" si="63"/>
        <v>3.4424151475361382E-2</v>
      </c>
      <c r="U137" s="902">
        <f t="shared" si="63"/>
        <v>3.2494799828240981E-2</v>
      </c>
      <c r="V137" s="902">
        <f t="shared" si="63"/>
        <v>2.9153297387891016E-2</v>
      </c>
      <c r="W137" s="902">
        <f t="shared" si="63"/>
        <v>3.1378737993523989E-2</v>
      </c>
      <c r="X137" s="902">
        <f t="shared" si="63"/>
        <v>3.1851139191520696E-2</v>
      </c>
      <c r="Y137" s="945">
        <f t="shared" ref="Y137:AC139" si="64">X137</f>
        <v>3.1851139191520696E-2</v>
      </c>
      <c r="Z137" s="945">
        <f t="shared" si="64"/>
        <v>3.1851139191520696E-2</v>
      </c>
      <c r="AA137" s="945">
        <f t="shared" si="64"/>
        <v>3.1851139191520696E-2</v>
      </c>
      <c r="AB137" s="945">
        <f t="shared" si="64"/>
        <v>3.1851139191520696E-2</v>
      </c>
      <c r="AC137" s="945">
        <f t="shared" si="64"/>
        <v>3.1851139191520696E-2</v>
      </c>
      <c r="AD137" s="945">
        <f t="shared" ref="AD137:AD140" si="65">AC137</f>
        <v>3.1851139191520696E-2</v>
      </c>
      <c r="AE137" s="945">
        <f t="shared" ref="AE137:AE140" si="66">AD137</f>
        <v>3.1851139191520696E-2</v>
      </c>
      <c r="AF137" s="945">
        <f t="shared" ref="AF137:AF140" si="67">AE137</f>
        <v>3.1851139191520696E-2</v>
      </c>
      <c r="AG137" s="945">
        <f t="shared" ref="AG137:AG140" si="68">AF137</f>
        <v>3.1851139191520696E-2</v>
      </c>
    </row>
    <row r="138" spans="4:33" x14ac:dyDescent="0.25">
      <c r="D138" s="956" t="s">
        <v>483</v>
      </c>
      <c r="F138" s="905">
        <f t="shared" ref="F138:X138" si="69">F23/F133</f>
        <v>2.240196447996209E-3</v>
      </c>
      <c r="G138" s="946">
        <f t="shared" si="69"/>
        <v>2.2053549443843742E-3</v>
      </c>
      <c r="H138" s="946">
        <f t="shared" si="69"/>
        <v>2.1500389958053158E-3</v>
      </c>
      <c r="I138" s="946">
        <f t="shared" si="69"/>
        <v>2.106705133926255E-3</v>
      </c>
      <c r="J138" s="946">
        <f t="shared" si="69"/>
        <v>2.1433489549785665E-3</v>
      </c>
      <c r="K138" s="946">
        <f t="shared" si="69"/>
        <v>2.1078945417183047E-3</v>
      </c>
      <c r="L138" s="946">
        <f t="shared" si="69"/>
        <v>2.1105650604620811E-3</v>
      </c>
      <c r="M138" s="946">
        <f t="shared" si="69"/>
        <v>2.1540390760891553E-3</v>
      </c>
      <c r="N138" s="946">
        <f t="shared" si="69"/>
        <v>2.1611001964636544E-3</v>
      </c>
      <c r="O138" s="946">
        <f t="shared" si="69"/>
        <v>2.1607977741870715E-3</v>
      </c>
      <c r="P138" s="946">
        <f t="shared" si="69"/>
        <v>2.1270666914360021E-3</v>
      </c>
      <c r="Q138" s="946">
        <f t="shared" si="69"/>
        <v>2.1005127452509149E-3</v>
      </c>
      <c r="R138" s="946">
        <f t="shared" si="69"/>
        <v>2.0536866401323086E-3</v>
      </c>
      <c r="S138" s="944">
        <f t="shared" si="69"/>
        <v>1.9844785428257557E-3</v>
      </c>
      <c r="T138" s="944">
        <f t="shared" si="69"/>
        <v>1.9410451645918069E-3</v>
      </c>
      <c r="U138" s="902">
        <f t="shared" si="69"/>
        <v>1.8563448138906398E-3</v>
      </c>
      <c r="V138" s="902">
        <f t="shared" si="69"/>
        <v>1.8211526023760084E-3</v>
      </c>
      <c r="W138" s="902">
        <f t="shared" si="69"/>
        <v>1.8349392542940928E-3</v>
      </c>
      <c r="X138" s="902">
        <f t="shared" si="69"/>
        <v>1.889403594838945E-3</v>
      </c>
      <c r="Y138" s="945">
        <f t="shared" si="64"/>
        <v>1.889403594838945E-3</v>
      </c>
      <c r="Z138" s="945">
        <f t="shared" si="64"/>
        <v>1.889403594838945E-3</v>
      </c>
      <c r="AA138" s="945">
        <f t="shared" si="64"/>
        <v>1.889403594838945E-3</v>
      </c>
      <c r="AB138" s="945">
        <f t="shared" si="64"/>
        <v>1.889403594838945E-3</v>
      </c>
      <c r="AC138" s="945">
        <f t="shared" si="64"/>
        <v>1.889403594838945E-3</v>
      </c>
      <c r="AD138" s="945">
        <f t="shared" si="65"/>
        <v>1.889403594838945E-3</v>
      </c>
      <c r="AE138" s="945">
        <f t="shared" si="66"/>
        <v>1.889403594838945E-3</v>
      </c>
      <c r="AF138" s="945">
        <f t="shared" si="67"/>
        <v>1.889403594838945E-3</v>
      </c>
      <c r="AG138" s="945">
        <f t="shared" si="68"/>
        <v>1.889403594838945E-3</v>
      </c>
    </row>
    <row r="139" spans="4:33" x14ac:dyDescent="0.25">
      <c r="D139" s="956" t="s">
        <v>484</v>
      </c>
      <c r="F139" s="905">
        <f t="shared" ref="F139:X139" si="70">F24/F134</f>
        <v>9.4079571452485911E-2</v>
      </c>
      <c r="G139" s="946">
        <f t="shared" si="70"/>
        <v>9.4656867134601211E-2</v>
      </c>
      <c r="H139" s="946">
        <f t="shared" si="70"/>
        <v>9.381647122988819E-2</v>
      </c>
      <c r="I139" s="946">
        <f t="shared" si="70"/>
        <v>9.5307846971277754E-2</v>
      </c>
      <c r="J139" s="946">
        <f t="shared" si="70"/>
        <v>9.7996036115393093E-2</v>
      </c>
      <c r="K139" s="946">
        <f t="shared" si="70"/>
        <v>9.5855065646573784E-2</v>
      </c>
      <c r="L139" s="946">
        <f t="shared" si="70"/>
        <v>9.5404944760197466E-2</v>
      </c>
      <c r="M139" s="946">
        <f t="shared" si="70"/>
        <v>9.3364963167890017E-2</v>
      </c>
      <c r="N139" s="946">
        <f t="shared" si="70"/>
        <v>9.3700042003899461E-2</v>
      </c>
      <c r="O139" s="946">
        <f t="shared" si="70"/>
        <v>9.2311376657189692E-2</v>
      </c>
      <c r="P139" s="946">
        <f t="shared" si="70"/>
        <v>9.298249811582586E-2</v>
      </c>
      <c r="Q139" s="946">
        <f t="shared" si="70"/>
        <v>9.2956208236938218E-2</v>
      </c>
      <c r="R139" s="946">
        <f t="shared" si="70"/>
        <v>9.2425538756596287E-2</v>
      </c>
      <c r="S139" s="944">
        <f t="shared" si="70"/>
        <v>9.2274459687178373E-2</v>
      </c>
      <c r="T139" s="944">
        <f t="shared" si="70"/>
        <v>9.1510855611988615E-2</v>
      </c>
      <c r="U139" s="902">
        <f t="shared" si="70"/>
        <v>9.0538380697990112E-2</v>
      </c>
      <c r="V139" s="902">
        <f t="shared" si="70"/>
        <v>8.9375101797057391E-2</v>
      </c>
      <c r="W139" s="902">
        <f t="shared" si="70"/>
        <v>8.8824647340667584E-2</v>
      </c>
      <c r="X139" s="902">
        <f t="shared" si="70"/>
        <v>8.869385920854371E-2</v>
      </c>
      <c r="Y139" s="945">
        <f t="shared" si="64"/>
        <v>8.869385920854371E-2</v>
      </c>
      <c r="Z139" s="945">
        <f t="shared" si="64"/>
        <v>8.869385920854371E-2</v>
      </c>
      <c r="AA139" s="945">
        <f t="shared" si="64"/>
        <v>8.869385920854371E-2</v>
      </c>
      <c r="AB139" s="945">
        <f t="shared" si="64"/>
        <v>8.869385920854371E-2</v>
      </c>
      <c r="AC139" s="945">
        <f t="shared" si="64"/>
        <v>8.869385920854371E-2</v>
      </c>
      <c r="AD139" s="945">
        <f t="shared" si="65"/>
        <v>8.869385920854371E-2</v>
      </c>
      <c r="AE139" s="945">
        <f t="shared" si="66"/>
        <v>8.869385920854371E-2</v>
      </c>
      <c r="AF139" s="945">
        <f t="shared" si="67"/>
        <v>8.869385920854371E-2</v>
      </c>
      <c r="AG139" s="945">
        <f t="shared" si="68"/>
        <v>8.869385920854371E-2</v>
      </c>
    </row>
    <row r="140" spans="4:33" x14ac:dyDescent="0.25">
      <c r="D140" s="883" t="s">
        <v>520</v>
      </c>
      <c r="E140" s="345"/>
      <c r="F140" s="889">
        <f t="shared" ref="F140:W140" si="71">F25/F135</f>
        <v>3.9386270167668463E-2</v>
      </c>
      <c r="G140" s="890">
        <f t="shared" si="71"/>
        <v>3.7569620253164557E-2</v>
      </c>
      <c r="H140" s="890">
        <f t="shared" si="71"/>
        <v>3.5732084122396097E-2</v>
      </c>
      <c r="I140" s="890">
        <f t="shared" si="71"/>
        <v>3.7569944044764186E-2</v>
      </c>
      <c r="J140" s="890">
        <f t="shared" si="71"/>
        <v>3.8725758404766247E-2</v>
      </c>
      <c r="K140" s="890">
        <f t="shared" si="71"/>
        <v>3.4851138353765319E-2</v>
      </c>
      <c r="L140" s="890">
        <f t="shared" si="71"/>
        <v>3.99592153816275E-2</v>
      </c>
      <c r="M140" s="890">
        <f t="shared" si="71"/>
        <v>3.7931941764602697E-2</v>
      </c>
      <c r="N140" s="890">
        <f t="shared" si="71"/>
        <v>3.6937984496124031E-2</v>
      </c>
      <c r="O140" s="890">
        <f t="shared" si="71"/>
        <v>4.3957341308881979E-2</v>
      </c>
      <c r="P140" s="890">
        <f t="shared" si="71"/>
        <v>5.8747553816046967E-2</v>
      </c>
      <c r="Q140" s="890">
        <f t="shared" si="71"/>
        <v>7.0726462908923357E-2</v>
      </c>
      <c r="R140" s="903">
        <f t="shared" si="71"/>
        <v>5.1590868236563003E-2</v>
      </c>
      <c r="S140" s="903">
        <f t="shared" si="71"/>
        <v>5.2046991812032747E-2</v>
      </c>
      <c r="T140" s="798">
        <f t="shared" si="71"/>
        <v>5.8397613156745742E-2</v>
      </c>
      <c r="U140" s="947">
        <f t="shared" si="71"/>
        <v>6.4531816991507993E-2</v>
      </c>
      <c r="V140" s="947">
        <f t="shared" si="71"/>
        <v>5.6696764484574863E-2</v>
      </c>
      <c r="W140" s="947">
        <f t="shared" si="71"/>
        <v>5.3919791137863507E-2</v>
      </c>
      <c r="X140" s="890">
        <f>W140</f>
        <v>5.3919791137863507E-2</v>
      </c>
      <c r="Y140" s="890">
        <f>X140</f>
        <v>5.3919791137863507E-2</v>
      </c>
      <c r="Z140" s="900">
        <f t="shared" ref="Z140:AC140" si="72">Y140</f>
        <v>5.3919791137863507E-2</v>
      </c>
      <c r="AA140" s="900">
        <f t="shared" si="72"/>
        <v>5.3919791137863507E-2</v>
      </c>
      <c r="AB140" s="900">
        <f t="shared" si="72"/>
        <v>5.3919791137863507E-2</v>
      </c>
      <c r="AC140" s="945">
        <f t="shared" si="72"/>
        <v>5.3919791137863507E-2</v>
      </c>
      <c r="AD140" s="945">
        <f t="shared" si="65"/>
        <v>5.3919791137863507E-2</v>
      </c>
      <c r="AE140" s="945">
        <f t="shared" si="66"/>
        <v>5.3919791137863507E-2</v>
      </c>
      <c r="AF140" s="945">
        <f t="shared" si="67"/>
        <v>5.3919791137863507E-2</v>
      </c>
      <c r="AG140" s="945">
        <f t="shared" si="68"/>
        <v>5.3919791137863507E-2</v>
      </c>
    </row>
    <row r="144" spans="4:33" x14ac:dyDescent="0.25">
      <c r="D144" s="1471" t="s">
        <v>1710</v>
      </c>
      <c r="E144" s="1471"/>
      <c r="F144" s="1471"/>
      <c r="G144" s="1471"/>
      <c r="H144" s="1471"/>
      <c r="I144" s="1471"/>
      <c r="J144" s="1471"/>
      <c r="K144" s="1471"/>
      <c r="L144" s="1471"/>
      <c r="M144" s="1471"/>
      <c r="N144" s="1471"/>
      <c r="O144" s="1471"/>
      <c r="P144" s="1471"/>
      <c r="Q144" s="1471"/>
      <c r="R144" s="1471"/>
      <c r="S144" s="1471"/>
      <c r="T144" s="1471"/>
      <c r="U144" s="1471"/>
      <c r="V144" s="1471"/>
      <c r="W144" s="1471"/>
      <c r="X144" s="1471"/>
      <c r="Y144" s="1471"/>
      <c r="Z144" s="1471"/>
      <c r="AA144" s="1471"/>
      <c r="AB144" s="1471"/>
      <c r="AC144" s="1471"/>
    </row>
    <row r="145" spans="4:29" x14ac:dyDescent="0.25">
      <c r="D145" s="833" t="s">
        <v>1703</v>
      </c>
      <c r="E145" s="438"/>
      <c r="F145" s="269"/>
      <c r="G145" s="269"/>
      <c r="H145" s="269"/>
      <c r="I145" s="269"/>
      <c r="J145" s="269"/>
      <c r="K145" s="269"/>
      <c r="L145" s="269"/>
      <c r="M145" s="269"/>
      <c r="N145" s="269"/>
      <c r="O145" s="269"/>
      <c r="P145" s="269"/>
      <c r="Q145" s="269"/>
      <c r="R145" s="269"/>
      <c r="S145" s="957"/>
      <c r="T145" s="269"/>
      <c r="U145" s="274"/>
      <c r="V145" s="274"/>
      <c r="W145" s="274"/>
      <c r="X145" s="274"/>
      <c r="Y145" s="274"/>
      <c r="Z145" s="274"/>
      <c r="AA145" s="274"/>
      <c r="AB145" s="274"/>
      <c r="AC145" s="199"/>
    </row>
    <row r="146" spans="4:29" x14ac:dyDescent="0.25">
      <c r="D146" s="799" t="s">
        <v>514</v>
      </c>
      <c r="E146" s="800"/>
      <c r="F146" s="801"/>
      <c r="G146" s="801">
        <f>(G128/F128)^4-1</f>
        <v>2.8749393280061097E-2</v>
      </c>
      <c r="H146" s="801">
        <f t="shared" ref="H146:S146" si="73">(H128/G128)^4-1</f>
        <v>4.835619208374009E-2</v>
      </c>
      <c r="I146" s="801">
        <f t="shared" si="73"/>
        <v>4.0990394317915957E-2</v>
      </c>
      <c r="J146" s="801">
        <f t="shared" si="73"/>
        <v>-0.21110677102287756</v>
      </c>
      <c r="K146" s="801">
        <f t="shared" si="73"/>
        <v>0.22783396531706446</v>
      </c>
      <c r="L146" s="801">
        <f t="shared" si="73"/>
        <v>0.13475269153096958</v>
      </c>
      <c r="M146" s="801">
        <f t="shared" si="73"/>
        <v>4.6169492161351133E-2</v>
      </c>
      <c r="N146" s="801">
        <f t="shared" si="73"/>
        <v>0.15354153816413141</v>
      </c>
      <c r="O146" s="801">
        <f t="shared" si="73"/>
        <v>9.5222733313579777E-2</v>
      </c>
      <c r="P146" s="801">
        <f t="shared" si="73"/>
        <v>8.911535984386032E-2</v>
      </c>
      <c r="Q146" s="801">
        <f t="shared" si="73"/>
        <v>3.6094141365687449E-2</v>
      </c>
      <c r="R146" s="801">
        <f t="shared" si="73"/>
        <v>5.413631344975145E-2</v>
      </c>
      <c r="S146" s="801">
        <f t="shared" si="73"/>
        <v>9.2161469921289818E-2</v>
      </c>
      <c r="T146" s="802"/>
      <c r="U146" s="312"/>
      <c r="V146" s="312"/>
      <c r="W146" s="312"/>
      <c r="X146" s="312"/>
      <c r="Y146" s="312"/>
      <c r="Z146" s="312"/>
      <c r="AA146" s="312"/>
      <c r="AB146" s="312"/>
      <c r="AC146" s="420"/>
    </row>
    <row r="147" spans="4:29" x14ac:dyDescent="0.25">
      <c r="D147" s="803" t="s">
        <v>788</v>
      </c>
      <c r="E147" s="804"/>
      <c r="F147" s="801"/>
      <c r="G147" s="801">
        <f t="shared" ref="G147:S147" si="74">(G129/F129)^4-1</f>
        <v>2.4344330774321188E-2</v>
      </c>
      <c r="H147" s="801">
        <f t="shared" si="74"/>
        <v>6.458521711215659E-2</v>
      </c>
      <c r="I147" s="801">
        <f t="shared" si="74"/>
        <v>6.3735896602801656E-2</v>
      </c>
      <c r="J147" s="801">
        <f t="shared" si="74"/>
        <v>-0.23741446237196107</v>
      </c>
      <c r="K147" s="801">
        <f t="shared" si="74"/>
        <v>0.20825635125685005</v>
      </c>
      <c r="L147" s="801">
        <f t="shared" si="74"/>
        <v>0.16484895945116618</v>
      </c>
      <c r="M147" s="801">
        <f t="shared" si="74"/>
        <v>3.3279228577432596E-2</v>
      </c>
      <c r="N147" s="801">
        <f t="shared" si="74"/>
        <v>0.12327736678651791</v>
      </c>
      <c r="O147" s="801">
        <f t="shared" si="74"/>
        <v>0.11425899665317862</v>
      </c>
      <c r="P147" s="801">
        <f t="shared" si="74"/>
        <v>0.12263929791752348</v>
      </c>
      <c r="Q147" s="801">
        <f t="shared" si="74"/>
        <v>5.1533573038161862E-2</v>
      </c>
      <c r="R147" s="801">
        <f t="shared" si="74"/>
        <v>3.8141135194219355E-2</v>
      </c>
      <c r="S147" s="801">
        <f t="shared" si="74"/>
        <v>0.10690257689405547</v>
      </c>
      <c r="T147" s="802"/>
      <c r="U147" s="312"/>
      <c r="V147" s="312"/>
      <c r="W147" s="312"/>
      <c r="X147" s="312"/>
      <c r="Y147" s="312"/>
      <c r="Z147" s="312"/>
      <c r="AA147" s="312"/>
      <c r="AB147" s="312"/>
      <c r="AC147" s="420"/>
    </row>
    <row r="148" spans="4:29" x14ac:dyDescent="0.25">
      <c r="D148" s="803" t="s">
        <v>515</v>
      </c>
      <c r="E148" s="804"/>
      <c r="F148" s="801"/>
      <c r="G148" s="801">
        <f t="shared" ref="G148:S148" si="75">(G130/F130)^4-1</f>
        <v>9.8940383820250055E-2</v>
      </c>
      <c r="H148" s="801">
        <f t="shared" si="75"/>
        <v>2.8319568411775409E-2</v>
      </c>
      <c r="I148" s="801">
        <f t="shared" si="75"/>
        <v>-8.5739008681605666E-3</v>
      </c>
      <c r="J148" s="801">
        <f t="shared" si="75"/>
        <v>-0.35934262816006057</v>
      </c>
      <c r="K148" s="801">
        <f t="shared" si="75"/>
        <v>1.0628477511227197</v>
      </c>
      <c r="L148" s="801">
        <f t="shared" si="75"/>
        <v>-8.510473536398655E-2</v>
      </c>
      <c r="M148" s="801">
        <f t="shared" si="75"/>
        <v>-1.0116134762455764E-2</v>
      </c>
      <c r="N148" s="801">
        <f t="shared" si="75"/>
        <v>0.36625083933278457</v>
      </c>
      <c r="O148" s="801">
        <f t="shared" si="75"/>
        <v>1.9648773635073002E-2</v>
      </c>
      <c r="P148" s="801">
        <f t="shared" si="75"/>
        <v>-5.1624450555260104E-2</v>
      </c>
      <c r="Q148" s="801">
        <f t="shared" si="75"/>
        <v>-2.8627082405951798E-2</v>
      </c>
      <c r="R148" s="801">
        <f t="shared" si="75"/>
        <v>4.1627414399892038E-2</v>
      </c>
      <c r="S148" s="801">
        <f t="shared" si="75"/>
        <v>7.6492470624414111E-2</v>
      </c>
      <c r="T148" s="802"/>
      <c r="U148" s="312"/>
      <c r="V148" s="312"/>
      <c r="W148" s="312"/>
      <c r="X148" s="312"/>
      <c r="Y148" s="312"/>
      <c r="Z148" s="312"/>
      <c r="AA148" s="312"/>
      <c r="AB148" s="312"/>
      <c r="AC148" s="420"/>
    </row>
    <row r="149" spans="4:29" x14ac:dyDescent="0.25">
      <c r="D149" s="803" t="s">
        <v>516</v>
      </c>
      <c r="E149" s="804"/>
      <c r="F149" s="801"/>
      <c r="G149" s="801">
        <f t="shared" ref="G149:S149" si="76">(G131/F131)^4-1</f>
        <v>6.6826407149440659E-2</v>
      </c>
      <c r="H149" s="801">
        <f t="shared" si="76"/>
        <v>0.14817313810277866</v>
      </c>
      <c r="I149" s="801">
        <f t="shared" si="76"/>
        <v>0.18711939115613641</v>
      </c>
      <c r="J149" s="801">
        <f t="shared" si="76"/>
        <v>-1.4497377499696595E-2</v>
      </c>
      <c r="K149" s="801">
        <f t="shared" si="76"/>
        <v>0.15452590504057984</v>
      </c>
      <c r="L149" s="801">
        <f t="shared" si="76"/>
        <v>8.1300944253331897E-2</v>
      </c>
      <c r="M149" s="801">
        <f t="shared" si="76"/>
        <v>5.9196932796567792E-2</v>
      </c>
      <c r="N149" s="801">
        <f t="shared" si="76"/>
        <v>8.1188632132453531E-2</v>
      </c>
      <c r="O149" s="801">
        <f t="shared" si="76"/>
        <v>7.7476467280115147E-2</v>
      </c>
      <c r="P149" s="801">
        <f t="shared" si="76"/>
        <v>6.5254580521259653E-2</v>
      </c>
      <c r="Q149" s="801">
        <f t="shared" si="76"/>
        <v>8.1637129935556718E-3</v>
      </c>
      <c r="R149" s="801">
        <f t="shared" si="76"/>
        <v>0.19484297690017338</v>
      </c>
      <c r="S149" s="801">
        <f t="shared" si="76"/>
        <v>8.3858639128562951E-2</v>
      </c>
      <c r="T149" s="802"/>
      <c r="U149" s="312"/>
      <c r="V149" s="312"/>
      <c r="W149" s="312"/>
      <c r="X149" s="312"/>
      <c r="Y149" s="312"/>
      <c r="Z149" s="312"/>
      <c r="AA149" s="312"/>
      <c r="AB149" s="312"/>
      <c r="AC149" s="420"/>
    </row>
    <row r="150" spans="4:29" x14ac:dyDescent="0.25">
      <c r="D150" s="803" t="s">
        <v>517</v>
      </c>
      <c r="E150" s="804"/>
      <c r="F150" s="801"/>
      <c r="G150" s="801">
        <f t="shared" ref="G150:S150" si="77">(G132/F132)^4-1</f>
        <v>-1.0795127714819941E-3</v>
      </c>
      <c r="H150" s="801">
        <f t="shared" si="77"/>
        <v>-1.2766294214684004E-2</v>
      </c>
      <c r="I150" s="801">
        <f t="shared" si="77"/>
        <v>-3.568143513043176E-2</v>
      </c>
      <c r="J150" s="801">
        <f t="shared" si="77"/>
        <v>-7.4769653961980542E-2</v>
      </c>
      <c r="K150" s="801">
        <f t="shared" si="77"/>
        <v>-6.6735950541658706E-3</v>
      </c>
      <c r="L150" s="801">
        <f t="shared" si="77"/>
        <v>0.19263809895026496</v>
      </c>
      <c r="M150" s="801">
        <f t="shared" si="77"/>
        <v>0.11877926392131299</v>
      </c>
      <c r="N150" s="801">
        <f t="shared" si="77"/>
        <v>0.16392554515507163</v>
      </c>
      <c r="O150" s="801">
        <f t="shared" si="77"/>
        <v>8.2875517920269814E-2</v>
      </c>
      <c r="P150" s="801">
        <f t="shared" si="77"/>
        <v>7.0444876940621848E-2</v>
      </c>
      <c r="Q150" s="801">
        <f t="shared" si="77"/>
        <v>2.8750606091571207E-2</v>
      </c>
      <c r="R150" s="801">
        <f t="shared" si="77"/>
        <v>7.9838468306118182E-2</v>
      </c>
      <c r="S150" s="801">
        <f t="shared" si="77"/>
        <v>5.559908334102559E-2</v>
      </c>
      <c r="T150" s="802"/>
      <c r="U150" s="312"/>
      <c r="V150" s="312"/>
      <c r="W150" s="312"/>
      <c r="X150" s="312"/>
      <c r="Y150" s="312"/>
      <c r="Z150" s="312"/>
      <c r="AA150" s="312"/>
      <c r="AB150" s="312"/>
      <c r="AC150" s="420"/>
    </row>
    <row r="151" spans="4:29" x14ac:dyDescent="0.25">
      <c r="D151" s="799" t="s">
        <v>503</v>
      </c>
      <c r="E151" s="800"/>
      <c r="F151" s="801"/>
      <c r="G151" s="801">
        <f t="shared" ref="G151:S151" si="78">(G133/F133)^4-1</f>
        <v>2.4344330774321188E-2</v>
      </c>
      <c r="H151" s="801">
        <f t="shared" si="78"/>
        <v>6.458521711215659E-2</v>
      </c>
      <c r="I151" s="801">
        <f t="shared" si="78"/>
        <v>6.3735896602801656E-2</v>
      </c>
      <c r="J151" s="801">
        <f t="shared" si="78"/>
        <v>-0.23741446237196107</v>
      </c>
      <c r="K151" s="801">
        <f t="shared" si="78"/>
        <v>0.20825635125685005</v>
      </c>
      <c r="L151" s="801">
        <f t="shared" si="78"/>
        <v>0.16484895945116618</v>
      </c>
      <c r="M151" s="801">
        <f t="shared" si="78"/>
        <v>3.3279228577432596E-2</v>
      </c>
      <c r="N151" s="801">
        <f t="shared" si="78"/>
        <v>0.12327736678651791</v>
      </c>
      <c r="O151" s="801">
        <f t="shared" si="78"/>
        <v>0.11425899665317862</v>
      </c>
      <c r="P151" s="801">
        <f t="shared" si="78"/>
        <v>0.12263929791752348</v>
      </c>
      <c r="Q151" s="801">
        <f t="shared" si="78"/>
        <v>5.1533573038161862E-2</v>
      </c>
      <c r="R151" s="801">
        <f t="shared" si="78"/>
        <v>3.8141135194219355E-2</v>
      </c>
      <c r="S151" s="801">
        <f t="shared" si="78"/>
        <v>0.10690257689405547</v>
      </c>
      <c r="T151" s="802"/>
      <c r="U151" s="312"/>
      <c r="V151" s="312"/>
      <c r="W151" s="312"/>
      <c r="X151" s="312"/>
      <c r="Y151" s="312"/>
      <c r="Z151" s="312"/>
      <c r="AA151" s="312"/>
      <c r="AB151" s="312"/>
      <c r="AC151" s="420"/>
    </row>
    <row r="152" spans="4:29" x14ac:dyDescent="0.25">
      <c r="D152" s="799" t="s">
        <v>504</v>
      </c>
      <c r="E152" s="804"/>
      <c r="F152" s="801"/>
      <c r="G152" s="801">
        <f t="shared" ref="G152:S152" si="79">(G134/F134)^4-1</f>
        <v>5.143483996947551E-2</v>
      </c>
      <c r="H152" s="801">
        <f t="shared" si="79"/>
        <v>4.2059061110245599E-2</v>
      </c>
      <c r="I152" s="801">
        <f t="shared" si="79"/>
        <v>-5.2099731854827525E-2</v>
      </c>
      <c r="J152" s="801">
        <f t="shared" si="79"/>
        <v>-0.31458793015184205</v>
      </c>
      <c r="K152" s="801">
        <f t="shared" si="79"/>
        <v>0.45217378617217441</v>
      </c>
      <c r="L152" s="801">
        <f t="shared" si="79"/>
        <v>7.697387214774043E-2</v>
      </c>
      <c r="M152" s="801">
        <f t="shared" si="79"/>
        <v>0.14018234924805895</v>
      </c>
      <c r="N152" s="801">
        <f t="shared" si="79"/>
        <v>0.2071040207465018</v>
      </c>
      <c r="O152" s="801">
        <f t="shared" si="79"/>
        <v>8.6478031973165059E-2</v>
      </c>
      <c r="P152" s="801">
        <f t="shared" si="79"/>
        <v>0.11069891254354447</v>
      </c>
      <c r="Q152" s="801">
        <f t="shared" si="79"/>
        <v>7.6866159166873782E-2</v>
      </c>
      <c r="R152" s="801">
        <f t="shared" si="79"/>
        <v>9.3412653381198307E-2</v>
      </c>
      <c r="S152" s="801">
        <f t="shared" si="79"/>
        <v>6.3255851262993046E-2</v>
      </c>
      <c r="T152" s="802"/>
      <c r="U152" s="312"/>
      <c r="V152" s="312"/>
      <c r="W152" s="312"/>
      <c r="X152" s="312"/>
      <c r="Y152" s="312"/>
      <c r="Z152" s="312"/>
      <c r="AA152" s="312"/>
      <c r="AB152" s="312"/>
      <c r="AC152" s="420"/>
    </row>
    <row r="153" spans="4:29" x14ac:dyDescent="0.25">
      <c r="D153" s="805" t="s">
        <v>518</v>
      </c>
      <c r="E153" s="806"/>
      <c r="F153" s="807"/>
      <c r="G153" s="807">
        <f t="shared" ref="G153:S153" si="80">(G135/F135)^4-1</f>
        <v>0.1758865286082909</v>
      </c>
      <c r="H153" s="807">
        <f t="shared" si="80"/>
        <v>6.5552449536000035E-2</v>
      </c>
      <c r="I153" s="807">
        <f t="shared" si="80"/>
        <v>-0.41963909421919576</v>
      </c>
      <c r="J153" s="807">
        <f t="shared" si="80"/>
        <v>-0.22193367207862924</v>
      </c>
      <c r="K153" s="807">
        <f t="shared" si="80"/>
        <v>2.7172895933690313</v>
      </c>
      <c r="L153" s="807">
        <f t="shared" si="80"/>
        <v>-0.33877824443000826</v>
      </c>
      <c r="M153" s="807">
        <f t="shared" si="80"/>
        <v>0.50283948391983824</v>
      </c>
      <c r="N153" s="807">
        <f t="shared" si="80"/>
        <v>0.63845566586397662</v>
      </c>
      <c r="O153" s="807">
        <f t="shared" si="80"/>
        <v>-5.8959746681685132E-2</v>
      </c>
      <c r="P153" s="807">
        <f t="shared" si="80"/>
        <v>2.206047378184639E-2</v>
      </c>
      <c r="Q153" s="807">
        <f t="shared" si="80"/>
        <v>7.9610572291598736E-2</v>
      </c>
      <c r="R153" s="807">
        <f t="shared" si="80"/>
        <v>0.30102460615002213</v>
      </c>
      <c r="S153" s="807">
        <f t="shared" si="80"/>
        <v>4.0137369361875175E-2</v>
      </c>
      <c r="T153" s="808"/>
      <c r="U153" s="252"/>
      <c r="V153" s="252"/>
      <c r="W153" s="252"/>
      <c r="X153" s="252"/>
      <c r="Y153" s="252"/>
      <c r="Z153" s="252"/>
      <c r="AA153" s="252"/>
      <c r="AB153" s="252"/>
      <c r="AC153" s="253"/>
    </row>
    <row r="156" spans="4:29" x14ac:dyDescent="0.25">
      <c r="D156" s="1471" t="s">
        <v>1711</v>
      </c>
      <c r="E156" s="1471"/>
      <c r="F156" s="1471"/>
      <c r="G156" s="1471"/>
      <c r="H156" s="1471"/>
      <c r="I156" s="1471"/>
      <c r="J156" s="1471"/>
      <c r="K156" s="1471"/>
      <c r="L156" s="1471"/>
      <c r="M156" s="1471"/>
      <c r="N156" s="1471"/>
      <c r="O156" s="1471"/>
      <c r="P156" s="1471"/>
      <c r="Q156" s="1472"/>
      <c r="R156" s="1472"/>
      <c r="S156" s="1472"/>
      <c r="T156" s="1472"/>
      <c r="U156" s="1471"/>
      <c r="V156" s="1471"/>
      <c r="W156" s="1471"/>
      <c r="X156" s="1471"/>
      <c r="Y156" s="1471"/>
      <c r="Z156" s="1471"/>
      <c r="AA156" s="1471"/>
      <c r="AB156" s="1471"/>
      <c r="AC156" s="1471"/>
    </row>
    <row r="157" spans="4:29" x14ac:dyDescent="0.25">
      <c r="D157" s="1453" t="s">
        <v>899</v>
      </c>
      <c r="E157" s="1468"/>
      <c r="F157" s="1371">
        <v>2019</v>
      </c>
      <c r="G157" s="1372"/>
      <c r="H157" s="1373"/>
      <c r="I157" s="1371">
        <v>2020</v>
      </c>
      <c r="J157" s="1372"/>
      <c r="K157" s="1372"/>
      <c r="L157" s="1373"/>
      <c r="M157" s="1371">
        <v>2021</v>
      </c>
      <c r="N157" s="1372"/>
      <c r="O157" s="1372"/>
      <c r="P157" s="1372"/>
      <c r="Q157" s="1371">
        <v>2022</v>
      </c>
      <c r="R157" s="1403"/>
      <c r="S157" s="1403"/>
      <c r="T157" s="1373"/>
      <c r="U157" s="279"/>
      <c r="V157" s="556">
        <v>2023</v>
      </c>
      <c r="W157" s="552"/>
      <c r="X157" s="242"/>
      <c r="Y157" s="1368">
        <v>2024</v>
      </c>
      <c r="Z157" s="1381"/>
      <c r="AA157" s="1381"/>
      <c r="AB157" s="1370"/>
      <c r="AC157" s="233">
        <v>2025</v>
      </c>
    </row>
    <row r="158" spans="4:29" x14ac:dyDescent="0.25">
      <c r="D158" s="1473"/>
      <c r="E158" s="1474"/>
      <c r="F158" s="195" t="s">
        <v>284</v>
      </c>
      <c r="G158" s="196" t="s">
        <v>238</v>
      </c>
      <c r="H158" s="197" t="s">
        <v>282</v>
      </c>
      <c r="I158" s="195" t="s">
        <v>283</v>
      </c>
      <c r="J158" s="196" t="s">
        <v>284</v>
      </c>
      <c r="K158" s="196" t="s">
        <v>238</v>
      </c>
      <c r="L158" s="197" t="s">
        <v>282</v>
      </c>
      <c r="M158" s="195" t="s">
        <v>283</v>
      </c>
      <c r="N158" s="196" t="s">
        <v>284</v>
      </c>
      <c r="O158" s="196" t="s">
        <v>238</v>
      </c>
      <c r="P158" s="196" t="s">
        <v>282</v>
      </c>
      <c r="Q158" s="195" t="s">
        <v>283</v>
      </c>
      <c r="R158" s="196" t="s">
        <v>284</v>
      </c>
      <c r="S158" s="196" t="s">
        <v>238</v>
      </c>
      <c r="T158" s="197" t="s">
        <v>282</v>
      </c>
      <c r="U158" s="197" t="s">
        <v>283</v>
      </c>
      <c r="V158" s="268" t="s">
        <v>284</v>
      </c>
      <c r="W158" s="252" t="s">
        <v>238</v>
      </c>
      <c r="X158" s="253" t="s">
        <v>282</v>
      </c>
      <c r="Y158" s="251" t="s">
        <v>283</v>
      </c>
      <c r="Z158" s="249" t="s">
        <v>284</v>
      </c>
      <c r="AA158" s="252" t="s">
        <v>238</v>
      </c>
      <c r="AB158" s="252" t="s">
        <v>282</v>
      </c>
      <c r="AC158" s="832" t="s">
        <v>283</v>
      </c>
    </row>
    <row r="159" spans="4:29" x14ac:dyDescent="0.25">
      <c r="D159" s="809" t="s">
        <v>502</v>
      </c>
      <c r="E159" s="810"/>
      <c r="F159" s="811">
        <f>F161+F163</f>
        <v>14660.3</v>
      </c>
      <c r="G159" s="812">
        <f t="shared" ref="G159:P159" si="81">G161+G163</f>
        <v>14748</v>
      </c>
      <c r="H159" s="812">
        <f t="shared" si="81"/>
        <v>14896.1</v>
      </c>
      <c r="I159" s="812">
        <f t="shared" si="81"/>
        <v>5492.6</v>
      </c>
      <c r="J159" s="812">
        <f t="shared" si="81"/>
        <v>14127</v>
      </c>
      <c r="K159" s="812">
        <f t="shared" si="81"/>
        <v>14803.099999999999</v>
      </c>
      <c r="L159" s="812">
        <f t="shared" si="81"/>
        <v>15014.2</v>
      </c>
      <c r="M159" s="812">
        <f t="shared" si="81"/>
        <v>15152.900000000001</v>
      </c>
      <c r="N159" s="812">
        <f t="shared" si="81"/>
        <v>15654.4</v>
      </c>
      <c r="O159" s="812">
        <f t="shared" si="81"/>
        <v>15799.3</v>
      </c>
      <c r="P159" s="812">
        <f t="shared" si="81"/>
        <v>15983.8</v>
      </c>
      <c r="Q159" s="812">
        <f>Q161+Q163</f>
        <v>16571.400000000001</v>
      </c>
      <c r="R159" s="812">
        <f t="shared" ref="R159:S159" si="82">R161+R163</f>
        <v>16848</v>
      </c>
      <c r="S159" s="812">
        <f t="shared" si="82"/>
        <v>17094.3</v>
      </c>
      <c r="T159" s="813">
        <f>S159*(1+T171)^(1/4)</f>
        <v>17241.450694679574</v>
      </c>
      <c r="U159" s="948">
        <f t="shared" ref="U159:AC159" si="83">T159*(1+U171)^(1/4)</f>
        <v>17575.286570675969</v>
      </c>
      <c r="V159" s="948">
        <f t="shared" si="83"/>
        <v>17776.883022386985</v>
      </c>
      <c r="W159" s="772">
        <f t="shared" si="83"/>
        <v>18007.222909792083</v>
      </c>
      <c r="X159" s="772">
        <f t="shared" si="83"/>
        <v>18343.216995977113</v>
      </c>
      <c r="Y159" s="772">
        <f t="shared" si="83"/>
        <v>18568.45565929998</v>
      </c>
      <c r="Z159" s="772">
        <f t="shared" si="83"/>
        <v>18804.779674955382</v>
      </c>
      <c r="AA159" s="772">
        <f t="shared" si="83"/>
        <v>19017.265278072686</v>
      </c>
      <c r="AB159" s="772">
        <f t="shared" si="83"/>
        <v>19240.051429817559</v>
      </c>
      <c r="AC159" s="848">
        <f t="shared" si="83"/>
        <v>19465.290093140429</v>
      </c>
    </row>
    <row r="160" spans="4:29" x14ac:dyDescent="0.25">
      <c r="D160" s="799"/>
      <c r="E160" s="814"/>
      <c r="F160" s="815"/>
      <c r="G160" s="816"/>
      <c r="H160" s="816"/>
      <c r="I160" s="816"/>
      <c r="J160" s="816"/>
      <c r="K160" s="816"/>
      <c r="L160" s="816"/>
      <c r="M160" s="816"/>
      <c r="N160" s="816"/>
      <c r="O160" s="816"/>
      <c r="P160" s="816"/>
      <c r="Q160" s="816"/>
      <c r="R160" s="816"/>
      <c r="S160" s="816"/>
      <c r="T160" s="817"/>
      <c r="U160" s="949"/>
      <c r="V160" s="949"/>
      <c r="W160" s="847"/>
      <c r="X160" s="847"/>
      <c r="Y160" s="847"/>
      <c r="Z160" s="847"/>
      <c r="AA160" s="847"/>
      <c r="AB160" s="847"/>
      <c r="AC160" s="892"/>
    </row>
    <row r="161" spans="3:30" x14ac:dyDescent="0.25">
      <c r="D161" s="818" t="s">
        <v>503</v>
      </c>
      <c r="E161" s="819"/>
      <c r="F161" s="815">
        <v>9274.9</v>
      </c>
      <c r="G161" s="816">
        <v>9311.2999999999993</v>
      </c>
      <c r="H161" s="816">
        <v>9422.5</v>
      </c>
      <c r="I161" s="816">
        <v>0</v>
      </c>
      <c r="J161" s="816">
        <v>8908.7999999999993</v>
      </c>
      <c r="K161" s="816">
        <v>9343.2999999999993</v>
      </c>
      <c r="L161" s="816">
        <v>9546</v>
      </c>
      <c r="M161" s="816">
        <v>9702.2000000000007</v>
      </c>
      <c r="N161" s="816">
        <v>9950.4</v>
      </c>
      <c r="O161" s="816">
        <v>10175.1</v>
      </c>
      <c r="P161" s="816">
        <v>10336.6</v>
      </c>
      <c r="Q161" s="816">
        <v>10995.9</v>
      </c>
      <c r="R161" s="816">
        <v>11172.6</v>
      </c>
      <c r="S161" s="816">
        <v>11320.4</v>
      </c>
      <c r="T161" s="817">
        <f>S161*(1+T173)^(1/4)</f>
        <v>11366.198236243945</v>
      </c>
      <c r="U161" s="949">
        <f t="shared" ref="U161:AC161" si="84">T161*(1+U173)^(1/4)</f>
        <v>11615.678102099118</v>
      </c>
      <c r="V161" s="949">
        <f t="shared" si="84"/>
        <v>11784.308011427151</v>
      </c>
      <c r="W161" s="847">
        <f t="shared" si="84"/>
        <v>11950.728356725873</v>
      </c>
      <c r="X161" s="847">
        <f t="shared" si="84"/>
        <v>12085.110023599551</v>
      </c>
      <c r="Y161" s="847">
        <f t="shared" si="84"/>
        <v>12214.269084585763</v>
      </c>
      <c r="Z161" s="847">
        <f t="shared" si="84"/>
        <v>12356.082921376226</v>
      </c>
      <c r="AA161" s="847">
        <f t="shared" si="84"/>
        <v>12501.010234753445</v>
      </c>
      <c r="AB161" s="847">
        <f t="shared" si="84"/>
        <v>12646.841460688112</v>
      </c>
      <c r="AC161" s="892">
        <f t="shared" si="84"/>
        <v>12791.969643522543</v>
      </c>
    </row>
    <row r="162" spans="3:30" x14ac:dyDescent="0.25">
      <c r="D162" s="818"/>
      <c r="E162" s="819"/>
      <c r="F162" s="815"/>
      <c r="G162" s="816"/>
      <c r="H162" s="816"/>
      <c r="I162" s="816"/>
      <c r="J162" s="816"/>
      <c r="K162" s="816"/>
      <c r="L162" s="816"/>
      <c r="M162" s="816"/>
      <c r="N162" s="816"/>
      <c r="O162" s="816"/>
      <c r="P162" s="816"/>
      <c r="Q162" s="816"/>
      <c r="R162" s="816"/>
      <c r="S162" s="816"/>
      <c r="T162" s="817"/>
      <c r="U162" s="949"/>
      <c r="V162" s="949"/>
      <c r="W162" s="847"/>
      <c r="X162" s="847"/>
      <c r="Y162" s="847"/>
      <c r="Z162" s="847"/>
      <c r="AA162" s="847"/>
      <c r="AB162" s="847"/>
      <c r="AC162" s="892"/>
    </row>
    <row r="163" spans="3:30" x14ac:dyDescent="0.25">
      <c r="D163" s="818" t="s">
        <v>898</v>
      </c>
      <c r="E163" s="819"/>
      <c r="F163" s="815">
        <v>5385.4</v>
      </c>
      <c r="G163" s="816">
        <v>5436.7</v>
      </c>
      <c r="H163" s="816">
        <v>5473.6</v>
      </c>
      <c r="I163" s="816">
        <v>5492.6</v>
      </c>
      <c r="J163" s="816">
        <v>5218.2</v>
      </c>
      <c r="K163" s="816">
        <v>5459.8</v>
      </c>
      <c r="L163" s="816">
        <v>5468.2</v>
      </c>
      <c r="M163" s="816">
        <v>5450.7</v>
      </c>
      <c r="N163" s="816">
        <v>5704</v>
      </c>
      <c r="O163" s="816">
        <v>5624.2</v>
      </c>
      <c r="P163" s="816">
        <v>5647.2</v>
      </c>
      <c r="Q163" s="816">
        <v>5575.5</v>
      </c>
      <c r="R163" s="816">
        <v>5675.4</v>
      </c>
      <c r="S163" s="816">
        <v>5773.9</v>
      </c>
      <c r="T163" s="817">
        <f t="shared" ref="T163:AC163" si="85">S163*(1+T175)^(1/4)</f>
        <v>5871.8533564081308</v>
      </c>
      <c r="U163" s="949">
        <f t="shared" si="85"/>
        <v>5958.0785810624147</v>
      </c>
      <c r="V163" s="949">
        <f t="shared" si="85"/>
        <v>5993.3568013779877</v>
      </c>
      <c r="W163" s="847">
        <f t="shared" si="85"/>
        <v>6058.189913713255</v>
      </c>
      <c r="X163" s="847">
        <f t="shared" si="85"/>
        <v>6254.0028014754871</v>
      </c>
      <c r="Y163" s="847">
        <f t="shared" si="85"/>
        <v>6348.7661060465716</v>
      </c>
      <c r="Z163" s="847">
        <f t="shared" si="85"/>
        <v>6442.3096849152562</v>
      </c>
      <c r="AA163" s="847">
        <f t="shared" si="85"/>
        <v>6510.1451989795087</v>
      </c>
      <c r="AB163" s="847">
        <f t="shared" si="85"/>
        <v>6586.987918230715</v>
      </c>
      <c r="AC163" s="892">
        <f t="shared" si="85"/>
        <v>6666.8330392109065</v>
      </c>
    </row>
    <row r="164" spans="3:30" x14ac:dyDescent="0.25">
      <c r="D164" s="818"/>
      <c r="E164" s="819"/>
      <c r="F164" s="815"/>
      <c r="G164" s="816"/>
      <c r="H164" s="816"/>
      <c r="I164" s="816"/>
      <c r="J164" s="816"/>
      <c r="K164" s="816"/>
      <c r="L164" s="816"/>
      <c r="M164" s="816"/>
      <c r="N164" s="816"/>
      <c r="O164" s="816"/>
      <c r="P164" s="816"/>
      <c r="Q164" s="816"/>
      <c r="R164" s="816"/>
      <c r="S164" s="816"/>
      <c r="T164" s="817"/>
      <c r="U164" s="949"/>
      <c r="V164" s="949"/>
      <c r="W164" s="847"/>
      <c r="X164" s="847"/>
      <c r="Y164" s="847"/>
      <c r="Z164" s="847"/>
      <c r="AA164" s="847"/>
      <c r="AB164" s="847"/>
      <c r="AC164" s="892"/>
    </row>
    <row r="165" spans="3:30" x14ac:dyDescent="0.25">
      <c r="D165" s="820" t="s">
        <v>504</v>
      </c>
      <c r="E165" s="819"/>
      <c r="F165" s="821"/>
      <c r="G165" s="819"/>
      <c r="H165" s="816"/>
      <c r="I165" s="816"/>
      <c r="J165" s="816"/>
      <c r="K165" s="816"/>
      <c r="L165" s="816"/>
      <c r="M165" s="816">
        <v>15041</v>
      </c>
      <c r="N165" s="816">
        <v>15551</v>
      </c>
      <c r="O165" s="816">
        <v>15824</v>
      </c>
      <c r="P165" s="816">
        <v>16056</v>
      </c>
      <c r="Q165" s="816">
        <v>16690.7</v>
      </c>
      <c r="R165" s="816">
        <v>16993</v>
      </c>
      <c r="S165" s="816">
        <v>17251.3</v>
      </c>
      <c r="T165" s="817">
        <f t="shared" ref="T165:AC165" si="86">S165*(1+T177)^(1/4)</f>
        <v>17478.401177322128</v>
      </c>
      <c r="U165" s="949">
        <f t="shared" si="86"/>
        <v>17822.369713077209</v>
      </c>
      <c r="V165" s="949">
        <f t="shared" si="86"/>
        <v>17968.112478936</v>
      </c>
      <c r="W165" s="847">
        <f t="shared" si="86"/>
        <v>18253.549783422492</v>
      </c>
      <c r="X165" s="847">
        <f t="shared" si="86"/>
        <v>18447.678367129982</v>
      </c>
      <c r="Y165" s="847">
        <f t="shared" si="86"/>
        <v>18584.83655240271</v>
      </c>
      <c r="Z165" s="847">
        <f t="shared" si="86"/>
        <v>18733.018119564353</v>
      </c>
      <c r="AA165" s="847">
        <f t="shared" si="86"/>
        <v>18901.490513565775</v>
      </c>
      <c r="AB165" s="847">
        <f t="shared" si="86"/>
        <v>19077.474415580004</v>
      </c>
      <c r="AC165" s="892">
        <f t="shared" si="86"/>
        <v>19274.822217007266</v>
      </c>
    </row>
    <row r="166" spans="3:30" x14ac:dyDescent="0.25">
      <c r="D166" s="820"/>
      <c r="E166" s="819"/>
      <c r="F166" s="821"/>
      <c r="G166" s="819"/>
      <c r="H166" s="816"/>
      <c r="I166" s="816"/>
      <c r="J166" s="816"/>
      <c r="K166" s="816"/>
      <c r="L166" s="816"/>
      <c r="M166" s="816"/>
      <c r="N166" s="816"/>
      <c r="O166" s="816"/>
      <c r="P166" s="816"/>
      <c r="Q166" s="816"/>
      <c r="R166" s="816"/>
      <c r="S166" s="816"/>
      <c r="T166" s="817"/>
      <c r="U166" s="949"/>
      <c r="V166" s="949"/>
      <c r="W166" s="847"/>
      <c r="X166" s="847"/>
      <c r="Y166" s="847"/>
      <c r="Z166" s="847"/>
      <c r="AA166" s="847"/>
      <c r="AB166" s="847"/>
      <c r="AC166" s="892"/>
    </row>
    <row r="167" spans="3:30" x14ac:dyDescent="0.25">
      <c r="C167" s="35"/>
      <c r="D167" s="822" t="s">
        <v>510</v>
      </c>
      <c r="E167" s="823"/>
      <c r="F167" s="824"/>
      <c r="G167" s="823"/>
      <c r="H167" s="825"/>
      <c r="I167" s="825"/>
      <c r="J167" s="825"/>
      <c r="K167" s="825"/>
      <c r="L167" s="825"/>
      <c r="M167" s="825">
        <v>1874</v>
      </c>
      <c r="N167" s="825">
        <v>2307</v>
      </c>
      <c r="O167" s="825">
        <v>2443</v>
      </c>
      <c r="P167" s="825">
        <v>2460</v>
      </c>
      <c r="Q167" s="825">
        <v>2329.5</v>
      </c>
      <c r="R167" s="825">
        <v>2420.1999999999998</v>
      </c>
      <c r="S167" s="825">
        <v>2468.6999999999998</v>
      </c>
      <c r="T167" s="826">
        <f t="shared" ref="T167:AC167" si="87">S167*(1+T179)^(1/4)</f>
        <v>2415.4414667141327</v>
      </c>
      <c r="U167" s="950">
        <f t="shared" si="87"/>
        <v>2349.2637842648624</v>
      </c>
      <c r="V167" s="950">
        <f t="shared" si="87"/>
        <v>2335.9930936276251</v>
      </c>
      <c r="W167" s="906">
        <f t="shared" si="87"/>
        <v>2419.4841936632251</v>
      </c>
      <c r="X167" s="906">
        <f t="shared" si="87"/>
        <v>2394.700519757921</v>
      </c>
      <c r="Y167" s="906">
        <f t="shared" si="87"/>
        <v>2412.8049056603772</v>
      </c>
      <c r="Z167" s="906">
        <f t="shared" si="87"/>
        <v>2425.108857244571</v>
      </c>
      <c r="AA167" s="906">
        <f t="shared" si="87"/>
        <v>2430.3819793520825</v>
      </c>
      <c r="AB167" s="906">
        <f t="shared" si="87"/>
        <v>2451.4744677821291</v>
      </c>
      <c r="AC167" s="907">
        <f t="shared" si="87"/>
        <v>2461.8449412602349</v>
      </c>
      <c r="AD167" s="35"/>
    </row>
    <row r="168" spans="3:30" ht="14.85" customHeight="1" x14ac:dyDescent="0.25">
      <c r="C168" s="35"/>
      <c r="D168" s="216"/>
      <c r="E168" s="555"/>
      <c r="F168" s="555"/>
      <c r="G168" s="555"/>
      <c r="H168" s="425"/>
      <c r="I168" s="425"/>
      <c r="J168" s="425"/>
      <c r="K168" s="425"/>
      <c r="L168" s="425"/>
      <c r="M168" s="425"/>
      <c r="N168" s="425"/>
      <c r="O168" s="425"/>
      <c r="P168" s="425"/>
      <c r="Q168" s="425"/>
      <c r="R168" s="425"/>
      <c r="S168" s="425"/>
      <c r="T168" s="425"/>
      <c r="U168" s="425"/>
      <c r="V168" s="425"/>
      <c r="W168" s="425"/>
      <c r="X168" s="425"/>
      <c r="Y168" s="425"/>
      <c r="Z168" s="425"/>
      <c r="AA168" s="425"/>
      <c r="AB168" s="425"/>
      <c r="AC168" s="425"/>
      <c r="AD168" s="35"/>
    </row>
    <row r="169" spans="3:30" x14ac:dyDescent="0.25">
      <c r="C169" s="35"/>
      <c r="D169" s="1453" t="s">
        <v>899</v>
      </c>
      <c r="E169" s="1468"/>
      <c r="F169" s="1371">
        <v>2019</v>
      </c>
      <c r="G169" s="1372"/>
      <c r="H169" s="1373"/>
      <c r="I169" s="1371">
        <v>2020</v>
      </c>
      <c r="J169" s="1372"/>
      <c r="K169" s="1372"/>
      <c r="L169" s="1373"/>
      <c r="M169" s="1371">
        <v>2021</v>
      </c>
      <c r="N169" s="1372"/>
      <c r="O169" s="1372"/>
      <c r="P169" s="1403"/>
      <c r="Q169" s="1371">
        <v>2022</v>
      </c>
      <c r="R169" s="1403"/>
      <c r="S169" s="1403"/>
      <c r="T169" s="1373"/>
      <c r="U169" s="279"/>
      <c r="V169" s="556">
        <v>2023</v>
      </c>
      <c r="W169" s="552"/>
      <c r="X169" s="242"/>
      <c r="Y169" s="1368">
        <v>2024</v>
      </c>
      <c r="Z169" s="1381"/>
      <c r="AA169" s="1381"/>
      <c r="AB169" s="1370"/>
      <c r="AC169" s="233">
        <v>2025</v>
      </c>
      <c r="AD169" s="35"/>
    </row>
    <row r="170" spans="3:30" x14ac:dyDescent="0.25">
      <c r="C170" s="35"/>
      <c r="D170" s="1473"/>
      <c r="E170" s="1474"/>
      <c r="F170" s="195" t="s">
        <v>284</v>
      </c>
      <c r="G170" s="196" t="s">
        <v>238</v>
      </c>
      <c r="H170" s="197" t="s">
        <v>282</v>
      </c>
      <c r="I170" s="195" t="s">
        <v>283</v>
      </c>
      <c r="J170" s="196" t="s">
        <v>284</v>
      </c>
      <c r="K170" s="196" t="s">
        <v>238</v>
      </c>
      <c r="L170" s="197" t="s">
        <v>282</v>
      </c>
      <c r="M170" s="195" t="s">
        <v>283</v>
      </c>
      <c r="N170" s="196" t="s">
        <v>284</v>
      </c>
      <c r="O170" s="196" t="s">
        <v>238</v>
      </c>
      <c r="P170" s="196" t="s">
        <v>282</v>
      </c>
      <c r="Q170" s="195" t="s">
        <v>283</v>
      </c>
      <c r="R170" s="196" t="s">
        <v>284</v>
      </c>
      <c r="S170" s="196" t="s">
        <v>238</v>
      </c>
      <c r="T170" s="197" t="s">
        <v>282</v>
      </c>
      <c r="U170" s="197" t="s">
        <v>283</v>
      </c>
      <c r="V170" s="268" t="s">
        <v>284</v>
      </c>
      <c r="W170" s="252" t="s">
        <v>238</v>
      </c>
      <c r="X170" s="253" t="s">
        <v>282</v>
      </c>
      <c r="Y170" s="251" t="s">
        <v>283</v>
      </c>
      <c r="Z170" s="249" t="s">
        <v>284</v>
      </c>
      <c r="AA170" s="252" t="s">
        <v>238</v>
      </c>
      <c r="AB170" s="252" t="s">
        <v>282</v>
      </c>
      <c r="AC170" s="832" t="s">
        <v>283</v>
      </c>
      <c r="AD170" s="35"/>
    </row>
    <row r="171" spans="3:30" ht="27.6" customHeight="1" x14ac:dyDescent="0.25">
      <c r="C171" s="35"/>
      <c r="D171" s="809" t="s">
        <v>502</v>
      </c>
      <c r="E171" s="810"/>
      <c r="F171" s="827"/>
      <c r="G171" s="828" t="e">
        <f t="shared" ref="G171:AC171" si="88">(G110/F110)^4-1</f>
        <v>#DIV/0!</v>
      </c>
      <c r="H171" s="828" t="e">
        <f t="shared" si="88"/>
        <v>#DIV/0!</v>
      </c>
      <c r="I171" s="828" t="e">
        <f t="shared" si="88"/>
        <v>#DIV/0!</v>
      </c>
      <c r="J171" s="828">
        <f t="shared" si="88"/>
        <v>-0.21070155504838917</v>
      </c>
      <c r="K171" s="828">
        <f t="shared" si="88"/>
        <v>0.20409656990320446</v>
      </c>
      <c r="L171" s="828">
        <f t="shared" si="88"/>
        <v>0.10445079655049061</v>
      </c>
      <c r="M171" s="828">
        <f t="shared" si="88"/>
        <v>2.1185496462746922E-2</v>
      </c>
      <c r="N171" s="828">
        <f t="shared" si="88"/>
        <v>0.15352679413570014</v>
      </c>
      <c r="O171" s="828">
        <f t="shared" si="88"/>
        <v>9.4935651214112848E-2</v>
      </c>
      <c r="P171" s="828">
        <f t="shared" si="88"/>
        <v>8.8996185911003112E-2</v>
      </c>
      <c r="Q171" s="828">
        <f t="shared" si="88"/>
        <v>3.5283239905369523E-2</v>
      </c>
      <c r="R171" s="828">
        <f t="shared" si="88"/>
        <v>5.4137382667910794E-2</v>
      </c>
      <c r="S171" s="828">
        <f t="shared" si="88"/>
        <v>9.2098202742709745E-2</v>
      </c>
      <c r="T171" s="829">
        <f t="shared" si="88"/>
        <v>3.4879853541921468E-2</v>
      </c>
      <c r="U171" s="951">
        <f t="shared" si="88"/>
        <v>7.972819452501767E-2</v>
      </c>
      <c r="V171" s="951">
        <f t="shared" si="88"/>
        <v>4.6677282756372618E-2</v>
      </c>
      <c r="W171" s="897">
        <f t="shared" si="88"/>
        <v>5.2845158240890422E-2</v>
      </c>
      <c r="X171" s="897">
        <f t="shared" si="88"/>
        <v>7.675042534576404E-2</v>
      </c>
      <c r="Y171" s="897">
        <f t="shared" si="88"/>
        <v>5.0028591851693172E-2</v>
      </c>
      <c r="Z171" s="897">
        <f t="shared" si="88"/>
        <v>5.1888865316187527E-2</v>
      </c>
      <c r="AA171" s="897">
        <f t="shared" si="88"/>
        <v>4.5970078269148118E-2</v>
      </c>
      <c r="AB171" s="897">
        <f t="shared" si="88"/>
        <v>4.7689655319901103E-2</v>
      </c>
      <c r="AC171" s="898">
        <f t="shared" si="88"/>
        <v>4.765576547496897E-2</v>
      </c>
      <c r="AD171" s="35"/>
    </row>
    <row r="172" spans="3:30" ht="27.6" customHeight="1" x14ac:dyDescent="0.25">
      <c r="C172" s="35"/>
      <c r="D172" s="799"/>
      <c r="E172" s="814"/>
      <c r="F172" s="782"/>
      <c r="G172" s="801"/>
      <c r="H172" s="801"/>
      <c r="I172" s="801"/>
      <c r="J172" s="801"/>
      <c r="K172" s="801"/>
      <c r="L172" s="801"/>
      <c r="M172" s="801"/>
      <c r="N172" s="801"/>
      <c r="O172" s="801"/>
      <c r="P172" s="801"/>
      <c r="Q172" s="801"/>
      <c r="R172" s="801"/>
      <c r="S172" s="801"/>
      <c r="T172" s="830"/>
      <c r="U172" s="952"/>
      <c r="V172" s="952"/>
      <c r="W172" s="945"/>
      <c r="X172" s="945"/>
      <c r="Y172" s="945"/>
      <c r="Z172" s="945"/>
      <c r="AA172" s="945"/>
      <c r="AB172" s="945"/>
      <c r="AC172" s="899"/>
      <c r="AD172" s="35"/>
    </row>
    <row r="173" spans="3:30" ht="27.6" customHeight="1" x14ac:dyDescent="0.25">
      <c r="C173" s="35"/>
      <c r="D173" s="818" t="s">
        <v>503</v>
      </c>
      <c r="E173" s="819"/>
      <c r="F173" s="782"/>
      <c r="G173" s="801" t="e">
        <f t="shared" ref="G173:AC173" si="89">(G111/F111)^4-1</f>
        <v>#DIV/0!</v>
      </c>
      <c r="H173" s="801" t="e">
        <f t="shared" si="89"/>
        <v>#DIV/0!</v>
      </c>
      <c r="I173" s="801" t="e">
        <f t="shared" si="89"/>
        <v>#DIV/0!</v>
      </c>
      <c r="J173" s="801">
        <f t="shared" si="89"/>
        <v>-0.23688314079507089</v>
      </c>
      <c r="K173" s="801">
        <f t="shared" si="89"/>
        <v>0.20520050761606656</v>
      </c>
      <c r="L173" s="801">
        <f t="shared" si="89"/>
        <v>0.16094955415161705</v>
      </c>
      <c r="M173" s="801">
        <f t="shared" si="89"/>
        <v>3.9409490381150158E-2</v>
      </c>
      <c r="N173" s="801">
        <f t="shared" si="89"/>
        <v>0.12327120115427315</v>
      </c>
      <c r="O173" s="801">
        <f t="shared" si="89"/>
        <v>0.11377883973230651</v>
      </c>
      <c r="P173" s="801">
        <f t="shared" si="89"/>
        <v>0.12257019687381665</v>
      </c>
      <c r="Q173" s="801">
        <f t="shared" si="89"/>
        <v>5.0240445886648333E-2</v>
      </c>
      <c r="R173" s="801">
        <f t="shared" si="89"/>
        <v>3.8082484872519418E-2</v>
      </c>
      <c r="S173" s="801">
        <f t="shared" si="89"/>
        <v>0.10686476869707984</v>
      </c>
      <c r="T173" s="830">
        <f t="shared" si="89"/>
        <v>1.6281018759848553E-2</v>
      </c>
      <c r="U173" s="952">
        <f t="shared" si="89"/>
        <v>9.073027489122576E-2</v>
      </c>
      <c r="V173" s="952">
        <f t="shared" si="89"/>
        <v>5.9346579149085921E-2</v>
      </c>
      <c r="W173" s="945">
        <f t="shared" si="89"/>
        <v>5.76967216099189E-2</v>
      </c>
      <c r="X173" s="945">
        <f t="shared" si="89"/>
        <v>4.5742924691962061E-2</v>
      </c>
      <c r="Y173" s="945">
        <f t="shared" si="89"/>
        <v>4.344004324431805E-2</v>
      </c>
      <c r="Z173" s="945">
        <f t="shared" si="89"/>
        <v>4.7257123222066211E-2</v>
      </c>
      <c r="AA173" s="945">
        <f t="shared" si="89"/>
        <v>4.7748834115709293E-2</v>
      </c>
      <c r="AB173" s="945">
        <f t="shared" si="89"/>
        <v>4.7485100751011977E-2</v>
      </c>
      <c r="AC173" s="899">
        <f t="shared" si="89"/>
        <v>4.6697973095650491E-2</v>
      </c>
      <c r="AD173" s="35"/>
    </row>
    <row r="174" spans="3:30" ht="27.6" customHeight="1" x14ac:dyDescent="0.25">
      <c r="C174" s="35"/>
      <c r="D174" s="818"/>
      <c r="E174" s="819"/>
      <c r="F174" s="782"/>
      <c r="G174" s="801"/>
      <c r="H174" s="801"/>
      <c r="I174" s="801"/>
      <c r="J174" s="801"/>
      <c r="K174" s="801"/>
      <c r="L174" s="801"/>
      <c r="M174" s="801"/>
      <c r="N174" s="801"/>
      <c r="O174" s="801"/>
      <c r="P174" s="801"/>
      <c r="Q174" s="801"/>
      <c r="R174" s="801"/>
      <c r="S174" s="801"/>
      <c r="T174" s="830"/>
      <c r="U174" s="952"/>
      <c r="V174" s="952"/>
      <c r="W174" s="945"/>
      <c r="X174" s="945"/>
      <c r="Y174" s="945"/>
      <c r="Z174" s="945"/>
      <c r="AA174" s="945"/>
      <c r="AB174" s="945"/>
      <c r="AC174" s="899"/>
      <c r="AD174" s="35"/>
    </row>
    <row r="175" spans="3:30" x14ac:dyDescent="0.25">
      <c r="C175" s="35"/>
      <c r="D175" s="818" t="s">
        <v>898</v>
      </c>
      <c r="E175" s="819"/>
      <c r="F175" s="782"/>
      <c r="G175" s="801" t="e">
        <f t="shared" ref="G175:AC175" si="90">(G112/F112)^4-1</f>
        <v>#DIV/0!</v>
      </c>
      <c r="H175" s="801" t="e">
        <f t="shared" si="90"/>
        <v>#DIV/0!</v>
      </c>
      <c r="I175" s="801" t="e">
        <f t="shared" si="90"/>
        <v>#DIV/0!</v>
      </c>
      <c r="J175" s="801">
        <f t="shared" si="90"/>
        <v>-0.16336002849894693</v>
      </c>
      <c r="K175" s="801">
        <f t="shared" si="90"/>
        <v>0.20221386896849047</v>
      </c>
      <c r="L175" s="801">
        <f t="shared" si="90"/>
        <v>1.2745999464862878E-2</v>
      </c>
      <c r="M175" s="801">
        <f t="shared" si="90"/>
        <v>-1.0436539692031732E-2</v>
      </c>
      <c r="N175" s="801">
        <f t="shared" si="90"/>
        <v>0.20918231093781925</v>
      </c>
      <c r="O175" s="801">
        <f t="shared" si="90"/>
        <v>6.24158330987723E-2</v>
      </c>
      <c r="P175" s="801">
        <f t="shared" si="90"/>
        <v>3.1185542568607394E-2</v>
      </c>
      <c r="Q175" s="801">
        <f t="shared" si="90"/>
        <v>8.5361032318496122E-3</v>
      </c>
      <c r="R175" s="801">
        <f t="shared" si="90"/>
        <v>8.406642728968805E-2</v>
      </c>
      <c r="S175" s="801">
        <f t="shared" si="90"/>
        <v>6.5684885522418135E-2</v>
      </c>
      <c r="T175" s="830">
        <f t="shared" si="90"/>
        <v>6.9605856549868061E-2</v>
      </c>
      <c r="U175" s="952">
        <f t="shared" si="90"/>
        <v>6.0044515441335378E-2</v>
      </c>
      <c r="V175" s="952">
        <f t="shared" si="90"/>
        <v>2.3895479645302808E-2</v>
      </c>
      <c r="W175" s="945">
        <f t="shared" si="90"/>
        <v>4.3977169774395364E-2</v>
      </c>
      <c r="X175" s="945">
        <f t="shared" si="90"/>
        <v>0.13569248350592122</v>
      </c>
      <c r="Y175" s="945">
        <f t="shared" si="90"/>
        <v>6.2001241796888928E-2</v>
      </c>
      <c r="Z175" s="945">
        <f t="shared" si="90"/>
        <v>6.0251951650434066E-2</v>
      </c>
      <c r="AA175" s="945">
        <f t="shared" si="90"/>
        <v>4.2788682132909317E-2</v>
      </c>
      <c r="AB175" s="945">
        <f t="shared" si="90"/>
        <v>4.805667333046193E-2</v>
      </c>
      <c r="AC175" s="899">
        <f t="shared" si="90"/>
        <v>4.937532644266418E-2</v>
      </c>
      <c r="AD175" s="35"/>
    </row>
    <row r="176" spans="3:30" x14ac:dyDescent="0.25">
      <c r="C176" s="35"/>
      <c r="D176" s="818"/>
      <c r="E176" s="819"/>
      <c r="F176" s="782"/>
      <c r="G176" s="801"/>
      <c r="H176" s="801"/>
      <c r="I176" s="801"/>
      <c r="J176" s="801"/>
      <c r="K176" s="801"/>
      <c r="L176" s="801"/>
      <c r="M176" s="801"/>
      <c r="N176" s="801"/>
      <c r="O176" s="801"/>
      <c r="P176" s="801"/>
      <c r="Q176" s="801"/>
      <c r="R176" s="801"/>
      <c r="S176" s="801"/>
      <c r="T176" s="830"/>
      <c r="U176" s="952"/>
      <c r="V176" s="952"/>
      <c r="W176" s="945"/>
      <c r="X176" s="945"/>
      <c r="Y176" s="945"/>
      <c r="Z176" s="945"/>
      <c r="AA176" s="945"/>
      <c r="AB176" s="945"/>
      <c r="AC176" s="899"/>
      <c r="AD176" s="35"/>
    </row>
    <row r="177" spans="3:30" x14ac:dyDescent="0.25">
      <c r="C177" s="35"/>
      <c r="D177" s="820" t="s">
        <v>504</v>
      </c>
      <c r="E177" s="819"/>
      <c r="F177" s="782"/>
      <c r="G177" s="801"/>
      <c r="H177" s="801"/>
      <c r="I177" s="801"/>
      <c r="J177" s="801"/>
      <c r="K177" s="801"/>
      <c r="L177" s="801"/>
      <c r="M177" s="801"/>
      <c r="N177" s="801">
        <f t="shared" ref="N177:AC177" si="91">(N113/M113)^4-1</f>
        <v>0.2071040207465018</v>
      </c>
      <c r="O177" s="801">
        <f t="shared" si="91"/>
        <v>8.6478031973165059E-2</v>
      </c>
      <c r="P177" s="801">
        <f t="shared" si="91"/>
        <v>0.11069891254354447</v>
      </c>
      <c r="Q177" s="801">
        <f t="shared" si="91"/>
        <v>7.6866159166873782E-2</v>
      </c>
      <c r="R177" s="801">
        <f t="shared" si="91"/>
        <v>9.3412653381198307E-2</v>
      </c>
      <c r="S177" s="801">
        <f t="shared" si="91"/>
        <v>6.3255851262993046E-2</v>
      </c>
      <c r="T177" s="830">
        <f t="shared" si="91"/>
        <v>5.3706121397031792E-2</v>
      </c>
      <c r="U177" s="952">
        <f t="shared" si="91"/>
        <v>8.1072900139305126E-2</v>
      </c>
      <c r="V177" s="952">
        <f t="shared" si="91"/>
        <v>3.3113498504208971E-2</v>
      </c>
      <c r="W177" s="945">
        <f t="shared" si="91"/>
        <v>6.50733259397549E-2</v>
      </c>
      <c r="X177" s="945">
        <f t="shared" si="91"/>
        <v>4.3223914451219647E-2</v>
      </c>
      <c r="Y177" s="945">
        <f t="shared" si="91"/>
        <v>3.0073255148503453E-2</v>
      </c>
      <c r="Z177" s="945">
        <f t="shared" si="91"/>
        <v>3.2276472073930584E-2</v>
      </c>
      <c r="AA177" s="945">
        <f t="shared" si="91"/>
        <v>3.6461555485465924E-2</v>
      </c>
      <c r="AB177" s="945">
        <f t="shared" si="91"/>
        <v>3.77656909279942E-2</v>
      </c>
      <c r="AC177" s="899">
        <f t="shared" si="91"/>
        <v>4.2024678895102641E-2</v>
      </c>
      <c r="AD177" s="35"/>
    </row>
    <row r="178" spans="3:30" x14ac:dyDescent="0.25">
      <c r="C178" s="35"/>
      <c r="D178" s="820"/>
      <c r="E178" s="819"/>
      <c r="F178" s="782"/>
      <c r="G178" s="801"/>
      <c r="H178" s="801"/>
      <c r="I178" s="801"/>
      <c r="J178" s="801"/>
      <c r="K178" s="801"/>
      <c r="L178" s="801"/>
      <c r="M178" s="801"/>
      <c r="N178" s="801"/>
      <c r="O178" s="801"/>
      <c r="P178" s="801"/>
      <c r="Q178" s="801"/>
      <c r="R178" s="801"/>
      <c r="S178" s="801"/>
      <c r="T178" s="830"/>
      <c r="U178" s="952"/>
      <c r="V178" s="952"/>
      <c r="W178" s="945"/>
      <c r="X178" s="945"/>
      <c r="Y178" s="945"/>
      <c r="Z178" s="945"/>
      <c r="AA178" s="945"/>
      <c r="AB178" s="945"/>
      <c r="AC178" s="899"/>
      <c r="AD178" s="35"/>
    </row>
    <row r="179" spans="3:30" x14ac:dyDescent="0.25">
      <c r="D179" s="822" t="s">
        <v>510</v>
      </c>
      <c r="E179" s="823"/>
      <c r="F179" s="783"/>
      <c r="G179" s="807"/>
      <c r="H179" s="807"/>
      <c r="I179" s="807"/>
      <c r="J179" s="807"/>
      <c r="K179" s="807"/>
      <c r="L179" s="807"/>
      <c r="M179" s="807"/>
      <c r="N179" s="807">
        <f t="shared" ref="N179:AC179" si="92">(N114/M114)^4-1</f>
        <v>0.63845566586397662</v>
      </c>
      <c r="O179" s="807">
        <f t="shared" si="92"/>
        <v>-5.8959746681685132E-2</v>
      </c>
      <c r="P179" s="807">
        <f t="shared" si="92"/>
        <v>2.206047378184639E-2</v>
      </c>
      <c r="Q179" s="807">
        <f t="shared" si="92"/>
        <v>7.9610572291598736E-2</v>
      </c>
      <c r="R179" s="807">
        <f t="shared" si="92"/>
        <v>0.30102460615002213</v>
      </c>
      <c r="S179" s="807">
        <f t="shared" si="92"/>
        <v>4.0137369361875175E-2</v>
      </c>
      <c r="T179" s="831">
        <f t="shared" si="92"/>
        <v>-8.3541501925960882E-2</v>
      </c>
      <c r="U179" s="953">
        <f t="shared" si="92"/>
        <v>-0.10516891134379558</v>
      </c>
      <c r="V179" s="953">
        <f t="shared" si="92"/>
        <v>-2.2404749846813954E-2</v>
      </c>
      <c r="W179" s="900">
        <f t="shared" si="92"/>
        <v>0.15081347684731061</v>
      </c>
      <c r="X179" s="900">
        <f t="shared" si="92"/>
        <v>-4.0348211792745947E-2</v>
      </c>
      <c r="Y179" s="900">
        <f t="shared" si="92"/>
        <v>3.0585421982231242E-2</v>
      </c>
      <c r="Z179" s="900">
        <f t="shared" si="92"/>
        <v>2.0554313024438775E-2</v>
      </c>
      <c r="AA179" s="900">
        <f t="shared" si="92"/>
        <v>8.7259518080227139E-3</v>
      </c>
      <c r="AB179" s="900">
        <f t="shared" si="92"/>
        <v>3.5169225116537195E-2</v>
      </c>
      <c r="AC179" s="901">
        <f t="shared" si="92"/>
        <v>1.7028877474759341E-2</v>
      </c>
    </row>
    <row r="180" spans="3:30" x14ac:dyDescent="0.25">
      <c r="D180" s="216"/>
      <c r="E180" s="555"/>
      <c r="G180" s="555"/>
      <c r="H180" s="425"/>
      <c r="I180" s="425"/>
      <c r="J180" s="425"/>
      <c r="K180" s="425"/>
      <c r="L180" s="425"/>
      <c r="M180" s="425"/>
      <c r="N180" s="425"/>
      <c r="O180" s="425"/>
      <c r="P180" s="425"/>
      <c r="Q180" s="425"/>
      <c r="R180" s="425"/>
      <c r="S180" s="425"/>
      <c r="T180" s="425"/>
      <c r="U180" s="425"/>
      <c r="V180" s="425"/>
      <c r="W180" s="425"/>
      <c r="X180" s="425"/>
      <c r="Y180" s="425"/>
      <c r="Z180" s="425"/>
      <c r="AA180" s="425"/>
      <c r="AB180" s="425"/>
      <c r="AC180" s="425"/>
    </row>
    <row r="181" spans="3:30" ht="14.85" customHeight="1" x14ac:dyDescent="0.25"/>
    <row r="182" spans="3:30" ht="14.85" customHeight="1" x14ac:dyDescent="0.25"/>
    <row r="183" spans="3:30" ht="14.85" customHeight="1" x14ac:dyDescent="0.25"/>
  </sheetData>
  <mergeCells count="52">
    <mergeCell ref="Q157:T157"/>
    <mergeCell ref="Q169:T169"/>
    <mergeCell ref="F157:H157"/>
    <mergeCell ref="Q118:T118"/>
    <mergeCell ref="Y169:AB169"/>
    <mergeCell ref="Y157:AB157"/>
    <mergeCell ref="D144:AC144"/>
    <mergeCell ref="D156:AC156"/>
    <mergeCell ref="D169:E170"/>
    <mergeCell ref="F169:H169"/>
    <mergeCell ref="I169:L169"/>
    <mergeCell ref="M169:P169"/>
    <mergeCell ref="I157:L157"/>
    <mergeCell ref="M157:P157"/>
    <mergeCell ref="D157:E158"/>
    <mergeCell ref="D120:E120"/>
    <mergeCell ref="D118:E119"/>
    <mergeCell ref="Y52:AB52"/>
    <mergeCell ref="D108:E109"/>
    <mergeCell ref="F108:H108"/>
    <mergeCell ref="I108:L108"/>
    <mergeCell ref="M118:P118"/>
    <mergeCell ref="F118:H118"/>
    <mergeCell ref="I118:L118"/>
    <mergeCell ref="AC108:AF108"/>
    <mergeCell ref="AC118:AF118"/>
    <mergeCell ref="Y118:AB118"/>
    <mergeCell ref="O75:V75"/>
    <mergeCell ref="P76:S76"/>
    <mergeCell ref="Q108:T108"/>
    <mergeCell ref="M108:P108"/>
    <mergeCell ref="Y108:AB108"/>
    <mergeCell ref="D1:AC1"/>
    <mergeCell ref="D2:AC3"/>
    <mergeCell ref="AC6:AF6"/>
    <mergeCell ref="F6:H6"/>
    <mergeCell ref="I6:L6"/>
    <mergeCell ref="W5:AG5"/>
    <mergeCell ref="Q6:T6"/>
    <mergeCell ref="Y6:AB6"/>
    <mergeCell ref="AC52:AF52"/>
    <mergeCell ref="D5:E7"/>
    <mergeCell ref="M6:P6"/>
    <mergeCell ref="D29:F29"/>
    <mergeCell ref="F5:V5"/>
    <mergeCell ref="F51:V51"/>
    <mergeCell ref="W51:AG51"/>
    <mergeCell ref="F52:H52"/>
    <mergeCell ref="M52:P52"/>
    <mergeCell ref="Q52:T52"/>
    <mergeCell ref="I52:L52"/>
    <mergeCell ref="D40:F40"/>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5"/>
  <sheetViews>
    <sheetView topLeftCell="A37" zoomScale="91" zoomScaleNormal="91" workbookViewId="0">
      <pane xSplit="3" ySplit="3" topLeftCell="N40" activePane="bottomRight" state="frozen"/>
      <selection activeCell="A37" sqref="A37"/>
      <selection pane="topRight" activeCell="D37" sqref="D37"/>
      <selection pane="bottomLeft" activeCell="A40" sqref="A40"/>
      <selection pane="bottomRight" activeCell="Z57" sqref="Z57"/>
    </sheetView>
  </sheetViews>
  <sheetFormatPr defaultColWidth="10.85546875" defaultRowHeight="15" x14ac:dyDescent="0.25"/>
  <cols>
    <col min="2" max="2" width="26.42578125" customWidth="1"/>
    <col min="3" max="3" width="13.140625" customWidth="1"/>
    <col min="20" max="29" width="11.5703125" customWidth="1"/>
    <col min="30" max="32" width="12.140625" customWidth="1"/>
  </cols>
  <sheetData>
    <row r="1" spans="2:32" x14ac:dyDescent="0.25">
      <c r="B1" s="1357" t="s">
        <v>1712</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2:32" x14ac:dyDescent="0.25">
      <c r="B2" s="1396" t="s">
        <v>1713</v>
      </c>
      <c r="C2" s="1396"/>
      <c r="D2" s="1396"/>
      <c r="E2" s="1396"/>
      <c r="F2" s="1396"/>
      <c r="G2" s="1396"/>
      <c r="H2" s="1396"/>
      <c r="I2" s="1396"/>
      <c r="J2" s="1396"/>
      <c r="K2" s="1396"/>
      <c r="L2" s="1396"/>
      <c r="M2" s="1396"/>
      <c r="N2" s="1396"/>
      <c r="O2" s="1396"/>
      <c r="P2" s="1396"/>
      <c r="Q2" s="1396"/>
      <c r="R2" s="1396"/>
      <c r="S2" s="1396"/>
      <c r="T2" s="1396"/>
      <c r="U2" s="1396"/>
      <c r="V2" s="1396"/>
      <c r="W2" s="1396"/>
      <c r="X2" s="1396"/>
      <c r="Y2" s="1396"/>
      <c r="Z2" s="1396"/>
      <c r="AA2" s="1396"/>
      <c r="AB2" s="1396"/>
      <c r="AC2" s="1396"/>
    </row>
    <row r="3" spans="2:32" x14ac:dyDescent="0.25">
      <c r="B3" s="1396"/>
      <c r="C3" s="1396"/>
      <c r="D3" s="1396"/>
      <c r="E3" s="1396"/>
      <c r="F3" s="1396"/>
      <c r="G3" s="1396"/>
      <c r="H3" s="1396"/>
      <c r="I3" s="1396"/>
      <c r="J3" s="1396"/>
      <c r="K3" s="1396"/>
      <c r="L3" s="1396"/>
      <c r="M3" s="1396"/>
      <c r="N3" s="1396"/>
      <c r="O3" s="1396"/>
      <c r="P3" s="1396"/>
      <c r="Q3" s="1396"/>
      <c r="R3" s="1396"/>
      <c r="S3" s="1396"/>
      <c r="T3" s="1396"/>
      <c r="U3" s="1396"/>
      <c r="V3" s="1396"/>
      <c r="W3" s="1396"/>
      <c r="X3" s="1396"/>
      <c r="Y3" s="1396"/>
      <c r="Z3" s="1396"/>
      <c r="AA3" s="1396"/>
      <c r="AB3" s="1396"/>
      <c r="AC3" s="1396"/>
    </row>
    <row r="4" spans="2:32" x14ac:dyDescent="0.25">
      <c r="B4" s="1396"/>
      <c r="C4" s="1396"/>
      <c r="D4" s="1396"/>
      <c r="E4" s="1396"/>
      <c r="F4" s="1396"/>
      <c r="G4" s="1396"/>
      <c r="H4" s="1396"/>
      <c r="I4" s="1396"/>
      <c r="J4" s="1396"/>
      <c r="K4" s="1396"/>
      <c r="L4" s="1396"/>
      <c r="M4" s="1396"/>
      <c r="N4" s="1396"/>
      <c r="O4" s="1396"/>
      <c r="P4" s="1396"/>
      <c r="Q4" s="1396"/>
      <c r="R4" s="1396"/>
      <c r="S4" s="1396"/>
      <c r="T4" s="1396"/>
      <c r="U4" s="1396"/>
      <c r="V4" s="1396"/>
      <c r="W4" s="1396"/>
      <c r="X4" s="1396"/>
      <c r="Y4" s="1396"/>
      <c r="Z4" s="1396"/>
      <c r="AA4" s="1396"/>
      <c r="AB4" s="1396"/>
      <c r="AC4" s="1396"/>
    </row>
    <row r="5" spans="2:32" x14ac:dyDescent="0.25">
      <c r="B5" s="229"/>
      <c r="C5" s="229"/>
      <c r="D5" s="229"/>
      <c r="E5" s="229"/>
      <c r="F5" s="229"/>
      <c r="G5" s="229"/>
      <c r="H5" s="229"/>
      <c r="I5" s="229"/>
      <c r="J5" s="229"/>
      <c r="K5" s="229"/>
      <c r="L5" s="229"/>
      <c r="M5" s="229"/>
      <c r="N5" s="229"/>
      <c r="O5" s="229"/>
      <c r="P5" s="229"/>
      <c r="Q5" s="229"/>
      <c r="R5" s="229"/>
      <c r="S5" s="229"/>
      <c r="T5" s="229"/>
      <c r="U5" s="229"/>
      <c r="V5" s="229"/>
      <c r="W5" s="229"/>
      <c r="X5" s="229"/>
      <c r="Y5" s="229"/>
      <c r="Z5" s="229"/>
      <c r="AA5" s="229"/>
      <c r="AB5" s="229"/>
      <c r="AC5" s="229"/>
    </row>
    <row r="6" spans="2:32" x14ac:dyDescent="0.25">
      <c r="B6" s="35"/>
      <c r="C6" s="1011"/>
      <c r="D6" s="1009"/>
      <c r="E6" s="1009"/>
      <c r="F6" s="1009"/>
      <c r="G6" s="1009"/>
      <c r="H6" s="1009"/>
      <c r="I6" s="1009"/>
      <c r="J6" s="1009"/>
      <c r="K6" s="1009"/>
      <c r="L6" s="1009"/>
      <c r="M6" s="1009"/>
      <c r="N6" s="1009"/>
      <c r="O6" s="1009"/>
      <c r="P6" s="1009"/>
      <c r="Q6" s="1009"/>
      <c r="R6" s="1009"/>
      <c r="S6" s="1009"/>
      <c r="T6" s="1009"/>
      <c r="U6" s="1009"/>
      <c r="V6" s="1009"/>
      <c r="W6" s="1009"/>
      <c r="X6" s="1009"/>
      <c r="Y6" s="1009"/>
      <c r="Z6" s="1009"/>
      <c r="AA6" s="1009"/>
      <c r="AB6" s="1009"/>
      <c r="AC6" s="1009"/>
      <c r="AD6" s="1009"/>
      <c r="AE6" s="1009"/>
      <c r="AF6" s="1009"/>
    </row>
    <row r="7" spans="2:32" ht="14.45" customHeight="1" x14ac:dyDescent="0.25">
      <c r="B7" s="1480" t="s">
        <v>1738</v>
      </c>
      <c r="C7" s="1480"/>
      <c r="D7" s="1480"/>
      <c r="E7" s="1480"/>
      <c r="F7" s="1480"/>
      <c r="G7" s="229"/>
      <c r="H7" s="229"/>
      <c r="I7" s="229"/>
      <c r="J7" s="229"/>
      <c r="K7" s="229"/>
      <c r="L7" s="229"/>
      <c r="M7" s="229"/>
      <c r="N7" s="229"/>
      <c r="O7" s="229"/>
      <c r="P7" s="229"/>
      <c r="Q7" s="229"/>
      <c r="R7" s="229"/>
      <c r="S7" s="229"/>
      <c r="T7" s="662"/>
      <c r="U7" s="662"/>
      <c r="V7" s="229"/>
      <c r="W7" s="229"/>
      <c r="X7" s="229"/>
      <c r="Y7" s="229"/>
      <c r="Z7" s="229"/>
      <c r="AA7" s="229"/>
      <c r="AB7" s="229"/>
      <c r="AC7" s="229"/>
    </row>
    <row r="8" spans="2:32" x14ac:dyDescent="0.25">
      <c r="B8" s="1362" t="s">
        <v>1727</v>
      </c>
      <c r="C8" s="1363"/>
      <c r="D8" s="1366" t="s">
        <v>280</v>
      </c>
      <c r="E8" s="1379"/>
      <c r="F8" s="1379"/>
      <c r="G8" s="1379"/>
      <c r="H8" s="1379"/>
      <c r="I8" s="1379"/>
      <c r="J8" s="1379"/>
      <c r="K8" s="1379"/>
      <c r="L8" s="1379"/>
      <c r="M8" s="1379"/>
      <c r="N8" s="1379"/>
      <c r="O8" s="1379"/>
      <c r="P8" s="1379"/>
      <c r="Q8" s="1379"/>
      <c r="R8" s="1379"/>
      <c r="S8" s="1379"/>
      <c r="T8" s="1379"/>
      <c r="U8" s="1379"/>
      <c r="V8" s="1379"/>
      <c r="W8" s="1377" t="s">
        <v>1753</v>
      </c>
      <c r="X8" s="1377"/>
      <c r="Y8" s="1377"/>
      <c r="Z8" s="1377"/>
      <c r="AA8" s="1377"/>
      <c r="AB8" s="1377"/>
      <c r="AC8" s="1377"/>
      <c r="AD8" s="1377"/>
      <c r="AE8" s="1377"/>
      <c r="AF8" s="1409"/>
    </row>
    <row r="9" spans="2:32" x14ac:dyDescent="0.25">
      <c r="B9" s="1364"/>
      <c r="C9" s="1365"/>
      <c r="D9" s="195">
        <v>2018</v>
      </c>
      <c r="E9" s="1359">
        <v>2019</v>
      </c>
      <c r="F9" s="1360"/>
      <c r="G9" s="1360"/>
      <c r="H9" s="1361"/>
      <c r="I9" s="1359">
        <v>2020</v>
      </c>
      <c r="J9" s="1360"/>
      <c r="K9" s="1360"/>
      <c r="L9" s="1360"/>
      <c r="M9" s="1359">
        <v>2021</v>
      </c>
      <c r="N9" s="1360"/>
      <c r="O9" s="1360"/>
      <c r="P9" s="1360"/>
      <c r="Q9" s="1388">
        <v>2022</v>
      </c>
      <c r="R9" s="1451"/>
      <c r="S9" s="556"/>
      <c r="T9" s="279"/>
      <c r="U9" s="221"/>
      <c r="V9" s="556">
        <v>2023</v>
      </c>
      <c r="W9" s="272"/>
      <c r="X9" s="272"/>
      <c r="Y9" s="1368">
        <v>2024</v>
      </c>
      <c r="Z9" s="1369"/>
      <c r="AA9" s="1369"/>
      <c r="AB9" s="1370"/>
      <c r="AC9" s="1368">
        <v>2025</v>
      </c>
      <c r="AD9" s="1369"/>
      <c r="AE9" s="1369"/>
      <c r="AF9" s="1370"/>
    </row>
    <row r="10" spans="2:32" x14ac:dyDescent="0.25">
      <c r="B10" s="1366"/>
      <c r="C10" s="1367"/>
      <c r="D10" s="195" t="s">
        <v>282</v>
      </c>
      <c r="E10" s="195" t="s">
        <v>283</v>
      </c>
      <c r="F10" s="196" t="s">
        <v>284</v>
      </c>
      <c r="G10" s="196" t="s">
        <v>238</v>
      </c>
      <c r="H10" s="197" t="s">
        <v>282</v>
      </c>
      <c r="I10" s="196" t="s">
        <v>283</v>
      </c>
      <c r="J10" s="196" t="s">
        <v>284</v>
      </c>
      <c r="K10" s="196" t="s">
        <v>238</v>
      </c>
      <c r="L10" s="196" t="s">
        <v>282</v>
      </c>
      <c r="M10" s="195" t="s">
        <v>283</v>
      </c>
      <c r="N10" s="196" t="s">
        <v>284</v>
      </c>
      <c r="O10" s="196" t="s">
        <v>238</v>
      </c>
      <c r="P10" s="196" t="s">
        <v>282</v>
      </c>
      <c r="Q10" s="195" t="s">
        <v>283</v>
      </c>
      <c r="R10" s="196" t="s">
        <v>284</v>
      </c>
      <c r="S10" s="196" t="s">
        <v>238</v>
      </c>
      <c r="T10" s="197" t="s">
        <v>282</v>
      </c>
      <c r="U10" s="195" t="s">
        <v>283</v>
      </c>
      <c r="V10" s="196" t="s">
        <v>284</v>
      </c>
      <c r="W10" s="312" t="s">
        <v>238</v>
      </c>
      <c r="X10" s="312" t="s">
        <v>282</v>
      </c>
      <c r="Y10" s="421" t="s">
        <v>283</v>
      </c>
      <c r="Z10" s="320" t="s">
        <v>284</v>
      </c>
      <c r="AA10" s="312" t="s">
        <v>238</v>
      </c>
      <c r="AB10" s="420" t="s">
        <v>282</v>
      </c>
      <c r="AC10" s="832" t="s">
        <v>283</v>
      </c>
      <c r="AD10" s="312" t="s">
        <v>284</v>
      </c>
      <c r="AE10" s="312" t="s">
        <v>238</v>
      </c>
      <c r="AF10" s="420" t="s">
        <v>282</v>
      </c>
    </row>
    <row r="11" spans="2:32" x14ac:dyDescent="0.25">
      <c r="B11" s="1481" t="s">
        <v>1737</v>
      </c>
      <c r="C11" s="1482"/>
      <c r="D11" s="1482"/>
      <c r="E11" s="1482"/>
      <c r="F11" s="1482"/>
      <c r="G11" s="1482"/>
      <c r="H11" s="1482"/>
      <c r="I11" s="1482"/>
      <c r="J11" s="1482"/>
      <c r="K11" s="1482"/>
      <c r="L11" s="1482"/>
      <c r="M11" s="1482"/>
      <c r="N11" s="1482"/>
      <c r="O11" s="1482"/>
      <c r="P11" s="1482"/>
      <c r="Q11" s="1482"/>
      <c r="R11" s="1482"/>
      <c r="S11" s="1482"/>
      <c r="T11" s="1482"/>
      <c r="U11" s="1482"/>
      <c r="V11" s="1482"/>
      <c r="W11" s="1482"/>
      <c r="X11" s="1482"/>
      <c r="Y11" s="1482"/>
      <c r="Z11" s="1482"/>
      <c r="AA11" s="1482"/>
      <c r="AB11" s="1482"/>
      <c r="AC11" s="1482"/>
      <c r="AD11" s="1482"/>
      <c r="AE11" s="1482"/>
      <c r="AF11" s="1483"/>
    </row>
    <row r="12" spans="2:32" x14ac:dyDescent="0.25">
      <c r="B12" s="1021" t="s">
        <v>1716</v>
      </c>
      <c r="C12" s="1022"/>
      <c r="D12" s="1016">
        <f>D45</f>
        <v>1.5264497223703488E-2</v>
      </c>
      <c r="E12" s="1016">
        <f>E45</f>
        <v>9.1895436648135043E-3</v>
      </c>
      <c r="F12" s="1016">
        <f>F45</f>
        <v>2.1359335668051704E-2</v>
      </c>
      <c r="G12" s="1016">
        <f>G45</f>
        <v>9.7821561759856568E-3</v>
      </c>
      <c r="H12" s="1016">
        <f>H45</f>
        <v>1.5756743276972518E-2</v>
      </c>
      <c r="I12" s="1016">
        <f>I45</f>
        <v>1.2975809403218186E-2</v>
      </c>
      <c r="J12" s="1016">
        <f>J45</f>
        <v>-1.727886877748519E-2</v>
      </c>
      <c r="K12" s="1016">
        <f>K45</f>
        <v>3.3383553321530757E-2</v>
      </c>
      <c r="L12" s="1016">
        <f>L45</f>
        <v>2.0146820681233191E-2</v>
      </c>
      <c r="M12" s="1016">
        <f>M45</f>
        <v>4.7725552632172041E-2</v>
      </c>
      <c r="N12" s="1016">
        <f>N45</f>
        <v>6.2593648340676156E-2</v>
      </c>
      <c r="O12" s="1016">
        <f>O45</f>
        <v>5.6496850547917088E-2</v>
      </c>
      <c r="P12" s="1016">
        <f>P45</f>
        <v>6.7608172830647684E-2</v>
      </c>
      <c r="Q12" s="1016">
        <f>Q45</f>
        <v>7.6571358087944352E-2</v>
      </c>
      <c r="R12" s="1016">
        <f>R45</f>
        <v>7.1828427694202057E-2</v>
      </c>
      <c r="S12" s="1016">
        <f>S45</f>
        <v>4.6758931657381764E-2</v>
      </c>
      <c r="T12" s="984">
        <f>T45</f>
        <v>4.1448566443352153E-2</v>
      </c>
      <c r="U12" s="1016">
        <f>U45+U13</f>
        <v>4.1651997755371317E-2</v>
      </c>
      <c r="V12" s="1016">
        <f>V45+V13</f>
        <v>2.4870541532459711E-2</v>
      </c>
      <c r="W12" s="1016">
        <f>W45+W13</f>
        <v>2.5905176927918383E-2</v>
      </c>
      <c r="X12" s="1016">
        <f>X45+X13</f>
        <v>1.7898288181300792E-2</v>
      </c>
      <c r="Y12" s="1016">
        <f>Y45+Y13</f>
        <v>3.0028432984637133E-2</v>
      </c>
      <c r="Z12" s="1016">
        <f>Z45+Z13</f>
        <v>2.7261380221050395E-2</v>
      </c>
      <c r="AA12" s="1016">
        <f>AA45+AA13</f>
        <v>2.4142963947836771E-2</v>
      </c>
      <c r="AB12" s="1016">
        <f>AB45+AB13</f>
        <v>2.2024345405476264E-2</v>
      </c>
      <c r="AC12" s="1016">
        <f>AC45+AC13</f>
        <v>2.2420730666689481E-2</v>
      </c>
      <c r="AD12" s="1016">
        <f>AD45+AD13</f>
        <v>2.219418453989408E-2</v>
      </c>
      <c r="AE12" s="1016">
        <f>AE45+AE13</f>
        <v>2.193798465649599E-2</v>
      </c>
      <c r="AF12" s="1014">
        <f>AF45+AF13</f>
        <v>2.1537819131734581E-2</v>
      </c>
    </row>
    <row r="13" spans="2:32" x14ac:dyDescent="0.25">
      <c r="B13" s="972" t="s">
        <v>1748</v>
      </c>
      <c r="C13" s="1023"/>
      <c r="D13" s="1024"/>
      <c r="E13" s="1025"/>
      <c r="F13" s="1025"/>
      <c r="G13" s="1025"/>
      <c r="H13" s="1025"/>
      <c r="I13" s="1025"/>
      <c r="J13" s="1025"/>
      <c r="K13" s="1025"/>
      <c r="L13" s="1025"/>
      <c r="M13" s="1025"/>
      <c r="N13" s="1025"/>
      <c r="O13" s="1025"/>
      <c r="P13" s="1025"/>
      <c r="Q13" s="1025"/>
      <c r="R13" s="1025"/>
      <c r="S13" s="1025"/>
      <c r="T13" s="1025"/>
      <c r="U13" s="1025"/>
      <c r="V13" s="1025"/>
      <c r="W13" s="1025"/>
      <c r="X13" s="1025"/>
      <c r="Y13" s="1025"/>
      <c r="Z13" s="1025"/>
      <c r="AA13" s="1025"/>
      <c r="AB13" s="1025"/>
      <c r="AC13" s="1025"/>
      <c r="AD13" s="1025"/>
      <c r="AE13" s="1025"/>
      <c r="AF13" s="1026"/>
    </row>
    <row r="14" spans="2:32" x14ac:dyDescent="0.25">
      <c r="B14" s="748" t="s">
        <v>1717</v>
      </c>
      <c r="C14" s="1022"/>
      <c r="D14" s="1009">
        <f t="shared" ref="D14:S14" si="0">D48</f>
        <v>2.9477765289275926E-2</v>
      </c>
      <c r="E14" s="1009">
        <f t="shared" si="0"/>
        <v>4.2202135370129845E-2</v>
      </c>
      <c r="F14" s="1009">
        <f t="shared" si="0"/>
        <v>-2.3704834981612466E-2</v>
      </c>
      <c r="G14" s="1009">
        <f t="shared" si="0"/>
        <v>6.4629467492742787E-3</v>
      </c>
      <c r="H14" s="1009">
        <f t="shared" si="0"/>
        <v>1.3942439977386201E-2</v>
      </c>
      <c r="I14" s="1009">
        <f t="shared" si="0"/>
        <v>1.2621468504538935E-2</v>
      </c>
      <c r="J14" s="1009">
        <f t="shared" si="0"/>
        <v>9.5192305533120525E-4</v>
      </c>
      <c r="K14" s="1009">
        <f t="shared" si="0"/>
        <v>2.3028813031033213E-2</v>
      </c>
      <c r="L14" s="1009">
        <f t="shared" si="0"/>
        <v>2.9378026710950689E-2</v>
      </c>
      <c r="M14" s="1009">
        <f t="shared" si="0"/>
        <v>3.4124335135575334E-2</v>
      </c>
      <c r="N14" s="1009">
        <f t="shared" si="0"/>
        <v>3.9538213787325915E-2</v>
      </c>
      <c r="O14" s="1009">
        <f t="shared" si="0"/>
        <v>4.1165152093425528E-2</v>
      </c>
      <c r="P14" s="1009">
        <f t="shared" si="0"/>
        <v>4.6364460300687638E-2</v>
      </c>
      <c r="Q14" s="1009">
        <f t="shared" si="0"/>
        <v>7.2410998904413937E-2</v>
      </c>
      <c r="R14" s="1009">
        <f t="shared" si="0"/>
        <v>6.8511037124212137E-2</v>
      </c>
      <c r="S14" s="1009">
        <f t="shared" si="0"/>
        <v>4.8282007704063767E-2</v>
      </c>
      <c r="T14" s="1009">
        <f>T48</f>
        <v>4.093597497107293E-2</v>
      </c>
      <c r="U14" s="1009">
        <f>U48+U15</f>
        <v>4.1330736826713066E-2</v>
      </c>
      <c r="V14" s="1009">
        <f t="shared" ref="V14:AF14" si="1">V48+V15</f>
        <v>2.0643513935327373E-2</v>
      </c>
      <c r="W14" s="1009">
        <f t="shared" si="1"/>
        <v>3.9726565698527727E-2</v>
      </c>
      <c r="X14" s="1009">
        <f t="shared" si="1"/>
        <v>3.9575951716406488E-2</v>
      </c>
      <c r="Y14" s="1009">
        <f t="shared" si="1"/>
        <v>2.368922809614471E-2</v>
      </c>
      <c r="Z14" s="1009">
        <f t="shared" si="1"/>
        <v>2.5560753162319871E-2</v>
      </c>
      <c r="AA14" s="1009">
        <f t="shared" si="1"/>
        <v>2.6823859858580823E-2</v>
      </c>
      <c r="AB14" s="1009">
        <f t="shared" si="1"/>
        <v>2.8273165683778689E-2</v>
      </c>
      <c r="AC14" s="1009">
        <f t="shared" si="1"/>
        <v>2.6045669819017236E-2</v>
      </c>
      <c r="AD14" s="1009">
        <f t="shared" si="1"/>
        <v>2.5611732233809859E-2</v>
      </c>
      <c r="AE14" s="1009">
        <f t="shared" si="1"/>
        <v>2.5262944090287176E-2</v>
      </c>
      <c r="AF14" s="987">
        <f t="shared" si="1"/>
        <v>2.4650693380256383E-2</v>
      </c>
    </row>
    <row r="15" spans="2:32" x14ac:dyDescent="0.25">
      <c r="B15" s="305" t="s">
        <v>1749</v>
      </c>
      <c r="C15" s="1023"/>
      <c r="D15" s="1024"/>
      <c r="E15" s="1025"/>
      <c r="F15" s="1025"/>
      <c r="G15" s="1025"/>
      <c r="H15" s="1025"/>
      <c r="I15" s="1025"/>
      <c r="J15" s="1025"/>
      <c r="K15" s="1025"/>
      <c r="L15" s="1025"/>
      <c r="M15" s="1025"/>
      <c r="N15" s="1025"/>
      <c r="O15" s="1025"/>
      <c r="P15" s="1025"/>
      <c r="Q15" s="1025"/>
      <c r="R15" s="1025"/>
      <c r="S15" s="1025"/>
      <c r="T15" s="1025"/>
      <c r="U15" s="1025"/>
      <c r="V15" s="1025"/>
      <c r="W15" s="1025"/>
      <c r="X15" s="1025"/>
      <c r="Y15" s="1025"/>
      <c r="Z15" s="1025"/>
      <c r="AA15" s="1025"/>
      <c r="AB15" s="1025"/>
      <c r="AC15" s="1025"/>
      <c r="AD15" s="1025"/>
      <c r="AE15" s="1025"/>
      <c r="AF15" s="1026"/>
    </row>
    <row r="16" spans="2:32" x14ac:dyDescent="0.25">
      <c r="B16" s="748" t="s">
        <v>1718</v>
      </c>
      <c r="C16" s="1022"/>
      <c r="D16" s="1009">
        <f t="shared" ref="D16:T16" si="2">D49</f>
        <v>1.7606158659444704E-2</v>
      </c>
      <c r="E16" s="1009">
        <f t="shared" si="2"/>
        <v>-1.7151418638734928E-2</v>
      </c>
      <c r="F16" s="1009">
        <f t="shared" si="2"/>
        <v>2.7663740902592604E-2</v>
      </c>
      <c r="G16" s="1009">
        <f t="shared" si="2"/>
        <v>1.5104723907904294E-2</v>
      </c>
      <c r="H16" s="1009">
        <f t="shared" si="2"/>
        <v>2.4480958799653285E-2</v>
      </c>
      <c r="I16" s="1009">
        <f t="shared" si="2"/>
        <v>5.2574904831641067E-2</v>
      </c>
      <c r="J16" s="1009">
        <f t="shared" si="2"/>
        <v>-8.4277759405785302E-3</v>
      </c>
      <c r="K16" s="1009">
        <f t="shared" si="2"/>
        <v>4.907445416510936E-2</v>
      </c>
      <c r="L16" s="1009">
        <f t="shared" si="2"/>
        <v>5.0954864858178572E-2</v>
      </c>
      <c r="M16" s="1009">
        <f t="shared" si="2"/>
        <v>9.2354867824980369E-2</v>
      </c>
      <c r="N16" s="1009">
        <f t="shared" si="2"/>
        <v>7.5885854631137173E-2</v>
      </c>
      <c r="O16" s="1009">
        <f t="shared" si="2"/>
        <v>6.4839018796936099E-2</v>
      </c>
      <c r="P16" s="1009">
        <f t="shared" si="2"/>
        <v>7.8606616627874493E-2</v>
      </c>
      <c r="Q16" s="1009">
        <f t="shared" si="2"/>
        <v>9.0996244334734522E-2</v>
      </c>
      <c r="R16" s="1009">
        <f t="shared" si="2"/>
        <v>0.13763433325959551</v>
      </c>
      <c r="S16" s="1009">
        <f t="shared" si="2"/>
        <v>1.6839709416048398E-2</v>
      </c>
      <c r="T16" s="1009">
        <f t="shared" si="2"/>
        <v>2.7352303497218955E-2</v>
      </c>
      <c r="U16" s="1010">
        <f>U49+U17</f>
        <v>-6.3056175150344451E-5</v>
      </c>
      <c r="V16" s="1009">
        <f t="shared" ref="V16:AF16" si="3">V49+V17</f>
        <v>-2.8662130748749126E-2</v>
      </c>
      <c r="W16" s="1009">
        <f t="shared" si="3"/>
        <v>5.7410273514926002E-2</v>
      </c>
      <c r="X16" s="1009">
        <f t="shared" si="3"/>
        <v>6.4988621204677965E-3</v>
      </c>
      <c r="Y16" s="1009">
        <f t="shared" si="3"/>
        <v>0.03</v>
      </c>
      <c r="Z16" s="1009">
        <f t="shared" si="3"/>
        <v>2.2528728595983205E-2</v>
      </c>
      <c r="AA16" s="1009">
        <f t="shared" si="3"/>
        <v>2.5806854841063931E-2</v>
      </c>
      <c r="AB16" s="1009">
        <f t="shared" si="3"/>
        <v>2.5253398906930347E-2</v>
      </c>
      <c r="AC16" s="1009">
        <f t="shared" si="3"/>
        <v>2.6714706322067405E-2</v>
      </c>
      <c r="AD16" s="1009">
        <f t="shared" si="3"/>
        <v>2.6527569872117907E-2</v>
      </c>
      <c r="AE16" s="1009">
        <f t="shared" si="3"/>
        <v>2.658836036739487E-2</v>
      </c>
      <c r="AF16" s="987">
        <f t="shared" si="3"/>
        <v>2.6600581141736246E-2</v>
      </c>
    </row>
    <row r="17" spans="2:33" x14ac:dyDescent="0.25">
      <c r="B17" s="305" t="s">
        <v>1750</v>
      </c>
      <c r="C17" s="1023"/>
      <c r="D17" s="1024"/>
      <c r="E17" s="1025"/>
      <c r="F17" s="1025"/>
      <c r="G17" s="1025"/>
      <c r="H17" s="1025"/>
      <c r="I17" s="1025"/>
      <c r="J17" s="1025"/>
      <c r="K17" s="1025"/>
      <c r="L17" s="1025"/>
      <c r="M17" s="1025"/>
      <c r="N17" s="1025"/>
      <c r="O17" s="1025"/>
      <c r="P17" s="1025"/>
      <c r="Q17" s="1025"/>
      <c r="R17" s="1025"/>
      <c r="S17" s="1025"/>
      <c r="T17" s="1025"/>
      <c r="U17" s="1025"/>
      <c r="V17" s="1025"/>
      <c r="W17" s="1025"/>
      <c r="X17" s="1025"/>
      <c r="Y17" s="1025"/>
      <c r="Z17" s="1025"/>
      <c r="AA17" s="1025"/>
      <c r="AB17" s="1025"/>
      <c r="AC17" s="1025"/>
      <c r="AD17" s="1025"/>
      <c r="AE17" s="1025"/>
      <c r="AF17" s="1026"/>
    </row>
    <row r="18" spans="2:33" x14ac:dyDescent="0.25">
      <c r="B18" s="748" t="s">
        <v>1719</v>
      </c>
      <c r="C18" s="1022"/>
      <c r="D18" s="1009">
        <f t="shared" ref="D18:T18" si="4">D50</f>
        <v>1.2331231439726587E-2</v>
      </c>
      <c r="E18" s="1009">
        <f t="shared" si="4"/>
        <v>-2.4548871147293649E-2</v>
      </c>
      <c r="F18" s="1009">
        <f t="shared" si="4"/>
        <v>2.4115177005201271E-2</v>
      </c>
      <c r="G18" s="1009">
        <f t="shared" si="4"/>
        <v>1.4753974603383124E-2</v>
      </c>
      <c r="H18" s="1009">
        <f t="shared" si="4"/>
        <v>2.894174832740215E-2</v>
      </c>
      <c r="I18" s="1009">
        <f t="shared" si="4"/>
        <v>6.2522667611889737E-2</v>
      </c>
      <c r="J18" s="1009">
        <f t="shared" si="4"/>
        <v>-7.4240991087901609E-3</v>
      </c>
      <c r="K18" s="1009">
        <f t="shared" si="4"/>
        <v>5.0929448665746779E-2</v>
      </c>
      <c r="L18" s="1009">
        <f t="shared" si="4"/>
        <v>5.7456046457014187E-2</v>
      </c>
      <c r="M18" s="1009">
        <f t="shared" si="4"/>
        <v>9.8185028225247883E-2</v>
      </c>
      <c r="N18" s="1009">
        <f t="shared" si="4"/>
        <v>7.1275335420445396E-2</v>
      </c>
      <c r="O18" s="1009">
        <f t="shared" si="4"/>
        <v>6.0639425152128945E-2</v>
      </c>
      <c r="P18" s="1009">
        <f t="shared" si="4"/>
        <v>7.3083340350689641E-2</v>
      </c>
      <c r="Q18" s="1009">
        <f t="shared" si="4"/>
        <v>8.7536929602414215E-2</v>
      </c>
      <c r="R18" s="1009">
        <f t="shared" si="4"/>
        <v>0.14059958977185572</v>
      </c>
      <c r="S18" s="1009">
        <f t="shared" si="4"/>
        <v>5.1674533625485353E-3</v>
      </c>
      <c r="T18" s="1009">
        <f t="shared" si="4"/>
        <v>2.4708021569921135E-2</v>
      </c>
      <c r="U18" s="1010">
        <f>U50+U19</f>
        <v>-1.0701402735953436E-2</v>
      </c>
      <c r="V18" s="1009">
        <f t="shared" ref="V18:AF18" si="5">V50+V19</f>
        <v>-3.5605877057299118E-2</v>
      </c>
      <c r="W18" s="1009">
        <f t="shared" si="5"/>
        <v>6.8186173678186135E-2</v>
      </c>
      <c r="X18" s="1009">
        <f t="shared" si="5"/>
        <v>5.6734763882242412E-3</v>
      </c>
      <c r="Y18" s="1009">
        <f t="shared" si="5"/>
        <v>0.03</v>
      </c>
      <c r="Z18" s="1009">
        <f t="shared" si="5"/>
        <v>2.2528728595983205E-2</v>
      </c>
      <c r="AA18" s="1009">
        <f t="shared" si="5"/>
        <v>2.5806854841063931E-2</v>
      </c>
      <c r="AB18" s="1009">
        <f t="shared" si="5"/>
        <v>2.5253398906930347E-2</v>
      </c>
      <c r="AC18" s="1009">
        <f t="shared" si="5"/>
        <v>2.6714706322067405E-2</v>
      </c>
      <c r="AD18" s="1009">
        <f t="shared" si="5"/>
        <v>2.6527569872117907E-2</v>
      </c>
      <c r="AE18" s="1009">
        <f t="shared" si="5"/>
        <v>2.658836036739487E-2</v>
      </c>
      <c r="AF18" s="987">
        <f t="shared" si="5"/>
        <v>2.6600581141736246E-2</v>
      </c>
    </row>
    <row r="19" spans="2:33" x14ac:dyDescent="0.25">
      <c r="B19" s="305" t="s">
        <v>1751</v>
      </c>
      <c r="C19" s="1023"/>
      <c r="D19" s="1024"/>
      <c r="E19" s="1025"/>
      <c r="F19" s="1025"/>
      <c r="G19" s="1025"/>
      <c r="H19" s="1025"/>
      <c r="I19" s="1025"/>
      <c r="J19" s="1025"/>
      <c r="K19" s="1025"/>
      <c r="L19" s="1025"/>
      <c r="M19" s="1025"/>
      <c r="N19" s="1025"/>
      <c r="O19" s="1025"/>
      <c r="P19" s="1025"/>
      <c r="Q19" s="1025"/>
      <c r="R19" s="1025"/>
      <c r="S19" s="1025"/>
      <c r="T19" s="1025"/>
      <c r="U19" s="1025"/>
      <c r="V19" s="1025"/>
      <c r="W19" s="1025"/>
      <c r="X19" s="1025"/>
      <c r="Y19" s="1025"/>
      <c r="Z19" s="1025"/>
      <c r="AA19" s="1025"/>
      <c r="AB19" s="1025"/>
      <c r="AC19" s="1025"/>
      <c r="AD19" s="1025"/>
      <c r="AE19" s="1025"/>
      <c r="AF19" s="1026"/>
      <c r="AG19" s="1027"/>
    </row>
    <row r="20" spans="2:33" x14ac:dyDescent="0.25">
      <c r="B20" s="748" t="s">
        <v>1720</v>
      </c>
      <c r="C20" s="1022"/>
      <c r="D20" s="1009">
        <f t="shared" ref="D20:T20" si="6">D51</f>
        <v>4.0962242441666019E-2</v>
      </c>
      <c r="E20" s="1009">
        <f t="shared" si="6"/>
        <v>1.5719050974356552E-2</v>
      </c>
      <c r="F20" s="1009">
        <f t="shared" si="6"/>
        <v>4.3088224053848823E-2</v>
      </c>
      <c r="G20" s="1009">
        <f t="shared" si="6"/>
        <v>1.6823112159823461E-2</v>
      </c>
      <c r="H20" s="1009">
        <f t="shared" si="6"/>
        <v>5.3982501773912617E-3</v>
      </c>
      <c r="I20" s="1009">
        <f t="shared" si="6"/>
        <v>9.7871671399678561E-3</v>
      </c>
      <c r="J20" s="1009">
        <f t="shared" si="6"/>
        <v>-1.264897125361697E-2</v>
      </c>
      <c r="K20" s="1009">
        <f t="shared" si="6"/>
        <v>4.0611329344794056E-2</v>
      </c>
      <c r="L20" s="1009">
        <f t="shared" si="6"/>
        <v>2.1607225299700827E-2</v>
      </c>
      <c r="M20" s="1009">
        <f t="shared" si="6"/>
        <v>6.5587978667649205E-2</v>
      </c>
      <c r="N20" s="1009">
        <f t="shared" si="6"/>
        <v>9.6562691223789132E-2</v>
      </c>
      <c r="O20" s="1009">
        <f t="shared" si="6"/>
        <v>8.4807929469169041E-2</v>
      </c>
      <c r="P20" s="1009">
        <f t="shared" si="6"/>
        <v>0.1057724485451752</v>
      </c>
      <c r="Q20" s="1009">
        <f t="shared" si="6"/>
        <v>0.10808480173082224</v>
      </c>
      <c r="R20" s="1009">
        <f t="shared" si="6"/>
        <v>0.12258858608776269</v>
      </c>
      <c r="S20" s="1009">
        <f t="shared" si="6"/>
        <v>7.7728691252704651E-2</v>
      </c>
      <c r="T20" s="1009">
        <f t="shared" si="6"/>
        <v>4.0349668009795225E-2</v>
      </c>
      <c r="U20" s="1009">
        <f>U51+U21</f>
        <v>5.1960248713186719E-2</v>
      </c>
      <c r="V20" s="1009">
        <f t="shared" ref="V20:AF20" si="7">V51+V21</f>
        <v>3.571644947314212E-3</v>
      </c>
      <c r="W20" s="1009">
        <f t="shared" si="7"/>
        <v>1.126058576943012E-2</v>
      </c>
      <c r="X20" s="1009">
        <f t="shared" si="7"/>
        <v>1.0024676064772642E-2</v>
      </c>
      <c r="Y20" s="1009">
        <f t="shared" si="7"/>
        <v>0.03</v>
      </c>
      <c r="Z20" s="1009">
        <f t="shared" si="7"/>
        <v>2.2528728595983205E-2</v>
      </c>
      <c r="AA20" s="1009">
        <f t="shared" si="7"/>
        <v>2.5806854841063931E-2</v>
      </c>
      <c r="AB20" s="1009">
        <f t="shared" si="7"/>
        <v>2.5253398906930347E-2</v>
      </c>
      <c r="AC20" s="1009">
        <f t="shared" si="7"/>
        <v>2.6714706322067405E-2</v>
      </c>
      <c r="AD20" s="1009">
        <f t="shared" si="7"/>
        <v>2.6527569872117907E-2</v>
      </c>
      <c r="AE20" s="1009">
        <f t="shared" si="7"/>
        <v>2.658836036739487E-2</v>
      </c>
      <c r="AF20" s="987">
        <f t="shared" si="7"/>
        <v>2.6600581141736246E-2</v>
      </c>
    </row>
    <row r="21" spans="2:33" x14ac:dyDescent="0.25">
      <c r="B21" s="305" t="s">
        <v>1752</v>
      </c>
      <c r="C21" s="1023"/>
      <c r="D21" s="989"/>
      <c r="E21" s="989"/>
      <c r="F21" s="989"/>
      <c r="G21" s="989"/>
      <c r="H21" s="989"/>
      <c r="I21" s="989"/>
      <c r="J21" s="989"/>
      <c r="K21" s="989"/>
      <c r="L21" s="989"/>
      <c r="M21" s="989"/>
      <c r="N21" s="989"/>
      <c r="O21" s="989"/>
      <c r="P21" s="989"/>
      <c r="Q21" s="989"/>
      <c r="R21" s="989"/>
      <c r="S21" s="989"/>
      <c r="T21" s="989"/>
      <c r="U21" s="989"/>
      <c r="V21" s="989"/>
      <c r="W21" s="989"/>
      <c r="X21" s="989"/>
      <c r="Y21" s="989"/>
      <c r="Z21" s="989"/>
      <c r="AA21" s="989"/>
      <c r="AB21" s="989"/>
      <c r="AC21" s="989"/>
      <c r="AD21" s="989"/>
      <c r="AE21" s="989"/>
      <c r="AF21" s="990"/>
    </row>
    <row r="22" spans="2:33" x14ac:dyDescent="0.25">
      <c r="B22" s="1477" t="s">
        <v>1741</v>
      </c>
      <c r="C22" s="1478"/>
      <c r="D22" s="1478"/>
      <c r="E22" s="1478"/>
      <c r="F22" s="1478"/>
      <c r="G22" s="1478"/>
      <c r="H22" s="1478"/>
      <c r="I22" s="1478"/>
      <c r="J22" s="1478"/>
      <c r="K22" s="1478"/>
      <c r="L22" s="1478"/>
      <c r="M22" s="1478"/>
      <c r="N22" s="1478"/>
      <c r="O22" s="1478"/>
      <c r="P22" s="1478"/>
      <c r="Q22" s="1478"/>
      <c r="R22" s="1478"/>
      <c r="S22" s="1478"/>
      <c r="T22" s="1478"/>
      <c r="U22" s="1478"/>
      <c r="V22" s="1478"/>
      <c r="W22" s="1478"/>
      <c r="X22" s="1478"/>
      <c r="Y22" s="1478"/>
      <c r="Z22" s="1478"/>
      <c r="AA22" s="1478"/>
      <c r="AB22" s="1478"/>
      <c r="AC22" s="1478"/>
      <c r="AD22" s="1478"/>
      <c r="AE22" s="1478"/>
      <c r="AF22" s="1479"/>
    </row>
    <row r="23" spans="2:33" x14ac:dyDescent="0.25">
      <c r="B23" s="1008" t="s">
        <v>1716</v>
      </c>
      <c r="C23" s="1017"/>
      <c r="D23" s="1006">
        <f t="shared" ref="D23:AF23" si="8">(D12+1)^0.25-1</f>
        <v>3.7944725878693575E-3</v>
      </c>
      <c r="E23" s="1006">
        <f t="shared" si="8"/>
        <v>2.2895111163072634E-3</v>
      </c>
      <c r="F23" s="1006">
        <f t="shared" si="8"/>
        <v>5.2975883822428127E-3</v>
      </c>
      <c r="G23" s="1006">
        <f t="shared" si="8"/>
        <v>2.4366189012010597E-3</v>
      </c>
      <c r="H23" s="1006">
        <f t="shared" si="8"/>
        <v>3.9161216891407946E-3</v>
      </c>
      <c r="I23" s="1006">
        <f t="shared" si="8"/>
        <v>3.2282859338970127E-3</v>
      </c>
      <c r="J23" s="1006">
        <f t="shared" si="8"/>
        <v>-4.347992644805343E-3</v>
      </c>
      <c r="K23" s="1006">
        <f t="shared" si="8"/>
        <v>8.2433966256900693E-3</v>
      </c>
      <c r="L23" s="1006">
        <f t="shared" si="8"/>
        <v>4.9990936757648985E-3</v>
      </c>
      <c r="M23" s="1006">
        <f t="shared" si="8"/>
        <v>1.1723607643602252E-2</v>
      </c>
      <c r="N23" s="1006">
        <f t="shared" si="8"/>
        <v>1.5293963106832509E-2</v>
      </c>
      <c r="O23" s="1006">
        <f t="shared" si="8"/>
        <v>1.3834466952535873E-2</v>
      </c>
      <c r="P23" s="1006">
        <f t="shared" si="8"/>
        <v>1.6489676860671709E-2</v>
      </c>
      <c r="Q23" s="1006">
        <f t="shared" si="8"/>
        <v>1.8616496583388598E-2</v>
      </c>
      <c r="R23" s="1006">
        <f t="shared" si="8"/>
        <v>1.7492737036710837E-2</v>
      </c>
      <c r="S23" s="1007">
        <f t="shared" si="8"/>
        <v>1.1490175380914902E-2</v>
      </c>
      <c r="T23" s="1006">
        <f t="shared" si="8"/>
        <v>1.0204867199863132E-2</v>
      </c>
      <c r="U23" s="1006">
        <f t="shared" si="8"/>
        <v>1.0254195668004451E-2</v>
      </c>
      <c r="V23" s="1006">
        <f t="shared" si="8"/>
        <v>6.1604740631469035E-3</v>
      </c>
      <c r="W23" s="1006">
        <f t="shared" si="8"/>
        <v>6.4143147512578658E-3</v>
      </c>
      <c r="X23" s="1006">
        <f t="shared" si="8"/>
        <v>4.4448491068915796E-3</v>
      </c>
      <c r="Y23" s="1006">
        <f t="shared" si="8"/>
        <v>7.4240241023963982E-3</v>
      </c>
      <c r="Z23" s="1006">
        <f t="shared" si="8"/>
        <v>6.7467592917389574E-3</v>
      </c>
      <c r="AA23" s="1006">
        <f t="shared" si="8"/>
        <v>5.9818527768733532E-3</v>
      </c>
      <c r="AB23" s="1006">
        <f t="shared" si="8"/>
        <v>5.4611864159228585E-3</v>
      </c>
      <c r="AC23" s="1006">
        <f t="shared" si="8"/>
        <v>5.5586625778949461E-3</v>
      </c>
      <c r="AD23" s="1006">
        <f t="shared" si="8"/>
        <v>5.5029554837768835E-3</v>
      </c>
      <c r="AE23" s="1006">
        <f t="shared" si="8"/>
        <v>5.4399454510802858E-3</v>
      </c>
      <c r="AF23" s="1007">
        <f t="shared" si="8"/>
        <v>5.3415046691636103E-3</v>
      </c>
    </row>
    <row r="24" spans="2:33" x14ac:dyDescent="0.25">
      <c r="B24" s="782" t="s">
        <v>1717</v>
      </c>
      <c r="C24" s="1017"/>
      <c r="D24" s="1006">
        <f t="shared" ref="D24:AF24" si="9">(D14+1)^0.25-1</f>
        <v>7.2893513350869021E-3</v>
      </c>
      <c r="E24" s="1006">
        <f t="shared" si="9"/>
        <v>1.0387558056620838E-2</v>
      </c>
      <c r="F24" s="1006">
        <f t="shared" si="9"/>
        <v>-5.979629205767889E-3</v>
      </c>
      <c r="G24" s="1006">
        <f t="shared" si="9"/>
        <v>1.6118354776502031E-3</v>
      </c>
      <c r="H24" s="1006">
        <f t="shared" si="9"/>
        <v>3.4675325919326649E-3</v>
      </c>
      <c r="I24" s="1006">
        <f t="shared" si="9"/>
        <v>3.1405416241085948E-3</v>
      </c>
      <c r="J24" s="1006">
        <f t="shared" si="9"/>
        <v>2.3789585870903629E-4</v>
      </c>
      <c r="K24" s="1006">
        <f t="shared" si="9"/>
        <v>5.7081426655123391E-3</v>
      </c>
      <c r="L24" s="1006">
        <f t="shared" si="9"/>
        <v>7.2649532224040581E-3</v>
      </c>
      <c r="M24" s="1006">
        <f t="shared" si="9"/>
        <v>8.4240380913027657E-3</v>
      </c>
      <c r="N24" s="1006">
        <f t="shared" si="9"/>
        <v>9.7412877870699521E-3</v>
      </c>
      <c r="O24" s="1006">
        <f t="shared" si="9"/>
        <v>1.013613222164822E-2</v>
      </c>
      <c r="P24" s="1006">
        <f t="shared" si="9"/>
        <v>1.1394866831624384E-2</v>
      </c>
      <c r="Q24" s="1006">
        <f t="shared" si="9"/>
        <v>1.763096839425482E-2</v>
      </c>
      <c r="R24" s="1006">
        <f t="shared" si="9"/>
        <v>1.6704517227919435E-2</v>
      </c>
      <c r="S24" s="1007">
        <f t="shared" si="9"/>
        <v>1.1857914438035966E-2</v>
      </c>
      <c r="T24" s="1006">
        <f t="shared" si="9"/>
        <v>1.0080540848179664E-2</v>
      </c>
      <c r="U24" s="1006">
        <f t="shared" si="9"/>
        <v>1.0176292312289226E-2</v>
      </c>
      <c r="V24" s="1006">
        <f t="shared" si="9"/>
        <v>5.1214008637083808E-3</v>
      </c>
      <c r="W24" s="1006">
        <f t="shared" si="9"/>
        <v>9.7870229456920033E-3</v>
      </c>
      <c r="X24" s="1006">
        <f t="shared" si="9"/>
        <v>9.7504517181945527E-3</v>
      </c>
      <c r="Y24" s="1006">
        <f t="shared" si="9"/>
        <v>5.8704118201500233E-3</v>
      </c>
      <c r="Z24" s="1006">
        <f t="shared" si="9"/>
        <v>6.329834073945273E-3</v>
      </c>
      <c r="AA24" s="1006">
        <f t="shared" si="9"/>
        <v>6.6395464188786502E-3</v>
      </c>
      <c r="AB24" s="1006">
        <f t="shared" si="9"/>
        <v>6.994562758928291E-3</v>
      </c>
      <c r="AC24" s="1006">
        <f t="shared" si="9"/>
        <v>6.4487689092207479E-3</v>
      </c>
      <c r="AD24" s="1006">
        <f t="shared" si="9"/>
        <v>6.3423396237440866E-3</v>
      </c>
      <c r="AE24" s="1006">
        <f t="shared" si="9"/>
        <v>6.25676994931057E-3</v>
      </c>
      <c r="AF24" s="1007">
        <f t="shared" si="9"/>
        <v>6.1065110726108429E-3</v>
      </c>
    </row>
    <row r="25" spans="2:33" x14ac:dyDescent="0.25">
      <c r="B25" s="782" t="s">
        <v>1718</v>
      </c>
      <c r="C25" s="1017"/>
      <c r="D25" s="1006">
        <f t="shared" ref="D25:AF25" si="10">(D16+1)^0.25-1</f>
        <v>4.372774229274734E-3</v>
      </c>
      <c r="E25" s="1006">
        <f t="shared" si="10"/>
        <v>-4.3157124252592993E-3</v>
      </c>
      <c r="F25" s="1006">
        <f t="shared" si="10"/>
        <v>6.8453261793151032E-3</v>
      </c>
      <c r="G25" s="1006">
        <f t="shared" si="10"/>
        <v>3.754978190783298E-3</v>
      </c>
      <c r="H25" s="1006">
        <f t="shared" si="10"/>
        <v>6.0648428053204917E-3</v>
      </c>
      <c r="I25" s="1006">
        <f t="shared" si="10"/>
        <v>1.2892260887528373E-2</v>
      </c>
      <c r="J25" s="1006">
        <f t="shared" si="10"/>
        <v>-2.1136357315681975E-3</v>
      </c>
      <c r="K25" s="1006">
        <f t="shared" si="10"/>
        <v>1.2049088189663992E-2</v>
      </c>
      <c r="L25" s="1006">
        <f t="shared" si="10"/>
        <v>1.2502294841197026E-2</v>
      </c>
      <c r="M25" s="1006">
        <f t="shared" si="10"/>
        <v>2.2329604177621309E-2</v>
      </c>
      <c r="N25" s="1006">
        <f t="shared" si="10"/>
        <v>1.8454307630913824E-2</v>
      </c>
      <c r="O25" s="1006">
        <f t="shared" si="10"/>
        <v>1.5829893944934836E-2</v>
      </c>
      <c r="P25" s="1006">
        <f t="shared" si="10"/>
        <v>1.9097579373242857E-2</v>
      </c>
      <c r="Q25" s="1006">
        <f t="shared" si="10"/>
        <v>2.2011573528917028E-2</v>
      </c>
      <c r="R25" s="1006">
        <f t="shared" si="10"/>
        <v>3.2763005209490714E-2</v>
      </c>
      <c r="S25" s="1007">
        <f t="shared" si="10"/>
        <v>4.1836002868755884E-3</v>
      </c>
      <c r="T25" s="1006">
        <f t="shared" si="10"/>
        <v>6.7690354322897939E-3</v>
      </c>
      <c r="U25" s="1006">
        <f t="shared" si="10"/>
        <v>-1.5764416558927685E-5</v>
      </c>
      <c r="V25" s="1006">
        <f t="shared" si="10"/>
        <v>-7.2438636041176618E-3</v>
      </c>
      <c r="W25" s="1006">
        <f t="shared" si="10"/>
        <v>1.4053530453285834E-2</v>
      </c>
      <c r="X25" s="1006">
        <f t="shared" si="10"/>
        <v>1.6207709232129996E-3</v>
      </c>
      <c r="Y25" s="1006">
        <f t="shared" si="10"/>
        <v>7.4170717777328754E-3</v>
      </c>
      <c r="Z25" s="1006">
        <f t="shared" si="10"/>
        <v>5.5852157249145495E-3</v>
      </c>
      <c r="AA25" s="1006">
        <f t="shared" si="10"/>
        <v>6.3902003607594349E-3</v>
      </c>
      <c r="AB25" s="1006">
        <f t="shared" si="10"/>
        <v>6.2544278820970689E-3</v>
      </c>
      <c r="AC25" s="1006">
        <f t="shared" si="10"/>
        <v>6.6127933770079306E-3</v>
      </c>
      <c r="AD25" s="1006">
        <f t="shared" si="10"/>
        <v>6.5669221091098073E-3</v>
      </c>
      <c r="AE25" s="1006">
        <f t="shared" si="10"/>
        <v>6.5818238868864398E-3</v>
      </c>
      <c r="AF25" s="1007">
        <f t="shared" si="10"/>
        <v>6.5848195263480402E-3</v>
      </c>
    </row>
    <row r="26" spans="2:33" x14ac:dyDescent="0.25">
      <c r="B26" s="782" t="s">
        <v>1719</v>
      </c>
      <c r="C26" s="1017"/>
      <c r="D26" s="1006">
        <f t="shared" ref="D26:AF26" si="11">(D18+1)^0.25-1</f>
        <v>3.0686539854383188E-3</v>
      </c>
      <c r="E26" s="1006">
        <f t="shared" si="11"/>
        <v>-6.1945389248865279E-3</v>
      </c>
      <c r="F26" s="1006">
        <f t="shared" si="11"/>
        <v>5.9750291581421866E-3</v>
      </c>
      <c r="G26" s="1006">
        <f t="shared" si="11"/>
        <v>3.6682600473261218E-3</v>
      </c>
      <c r="H26" s="1006">
        <f t="shared" si="11"/>
        <v>7.1582096900950631E-3</v>
      </c>
      <c r="I26" s="1006">
        <f t="shared" si="11"/>
        <v>1.5277007398772247E-2</v>
      </c>
      <c r="J26" s="1006">
        <f t="shared" si="11"/>
        <v>-1.8612145119172308E-3</v>
      </c>
      <c r="K26" s="1006">
        <f t="shared" si="11"/>
        <v>1.2496173220895468E-2</v>
      </c>
      <c r="L26" s="1006">
        <f t="shared" si="11"/>
        <v>1.4064504306395387E-2</v>
      </c>
      <c r="M26" s="1006">
        <f t="shared" si="11"/>
        <v>2.3690987124463492E-2</v>
      </c>
      <c r="N26" s="1006">
        <f t="shared" si="11"/>
        <v>1.7361448228990994E-2</v>
      </c>
      <c r="O26" s="1006">
        <f t="shared" si="11"/>
        <v>1.48268323153804E-2</v>
      </c>
      <c r="P26" s="1006">
        <f t="shared" si="11"/>
        <v>1.7790430270233415E-2</v>
      </c>
      <c r="Q26" s="1006">
        <f t="shared" si="11"/>
        <v>2.1200463655148161E-2</v>
      </c>
      <c r="R26" s="1006">
        <f t="shared" si="11"/>
        <v>3.3435325470068555E-2</v>
      </c>
      <c r="S26" s="1007">
        <f t="shared" si="11"/>
        <v>1.2893674936129695E-3</v>
      </c>
      <c r="T26" s="1006">
        <f t="shared" si="11"/>
        <v>6.1205834426294459E-3</v>
      </c>
      <c r="U26" s="1006">
        <f t="shared" si="11"/>
        <v>-2.6861544538810955E-3</v>
      </c>
      <c r="V26" s="1006">
        <f t="shared" si="11"/>
        <v>-9.0228542004990864E-3</v>
      </c>
      <c r="W26" s="1006">
        <f t="shared" si="11"/>
        <v>1.6627230287139527E-2</v>
      </c>
      <c r="X26" s="1006">
        <f t="shared" si="11"/>
        <v>1.4153613889411609E-3</v>
      </c>
      <c r="Y26" s="1006">
        <f t="shared" si="11"/>
        <v>7.4170717777328754E-3</v>
      </c>
      <c r="Z26" s="1006">
        <f t="shared" si="11"/>
        <v>5.5852157249145495E-3</v>
      </c>
      <c r="AA26" s="1006">
        <f t="shared" si="11"/>
        <v>6.3902003607594349E-3</v>
      </c>
      <c r="AB26" s="1006">
        <f t="shared" si="11"/>
        <v>6.2544278820970689E-3</v>
      </c>
      <c r="AC26" s="1006">
        <f t="shared" si="11"/>
        <v>6.6127933770079306E-3</v>
      </c>
      <c r="AD26" s="1006">
        <f t="shared" si="11"/>
        <v>6.5669221091098073E-3</v>
      </c>
      <c r="AE26" s="1006">
        <f t="shared" si="11"/>
        <v>6.5818238868864398E-3</v>
      </c>
      <c r="AF26" s="1007">
        <f t="shared" si="11"/>
        <v>6.5848195263480402E-3</v>
      </c>
    </row>
    <row r="27" spans="2:33" x14ac:dyDescent="0.25">
      <c r="B27" s="783" t="s">
        <v>1720</v>
      </c>
      <c r="C27" s="1018"/>
      <c r="D27" s="1019">
        <f t="shared" ref="D27:AF27" si="12">(D20+1)^0.25-1</f>
        <v>1.0086913000375342E-2</v>
      </c>
      <c r="E27" s="1019">
        <f t="shared" si="12"/>
        <v>3.9068083281719179E-3</v>
      </c>
      <c r="F27" s="1019">
        <f t="shared" si="12"/>
        <v>1.0602249537278619E-2</v>
      </c>
      <c r="G27" s="1019">
        <f t="shared" si="12"/>
        <v>4.1795025922308771E-3</v>
      </c>
      <c r="H27" s="1019">
        <f t="shared" si="12"/>
        <v>1.3468391369007016E-3</v>
      </c>
      <c r="I27" s="1019">
        <f t="shared" si="12"/>
        <v>2.4378625269705356E-3</v>
      </c>
      <c r="J27" s="1019">
        <f t="shared" si="12"/>
        <v>-3.1773541305604169E-3</v>
      </c>
      <c r="K27" s="1019">
        <f t="shared" si="12"/>
        <v>1.0001776016302033E-2</v>
      </c>
      <c r="L27" s="1019">
        <f t="shared" si="12"/>
        <v>5.3585806702389771E-3</v>
      </c>
      <c r="M27" s="1019">
        <f t="shared" si="12"/>
        <v>1.6008469115345703E-2</v>
      </c>
      <c r="N27" s="1019">
        <f t="shared" si="12"/>
        <v>2.3312705560438074E-2</v>
      </c>
      <c r="O27" s="1019">
        <f t="shared" si="12"/>
        <v>2.0559225088983668E-2</v>
      </c>
      <c r="P27" s="1019">
        <f t="shared" si="12"/>
        <v>2.5454608550805169E-2</v>
      </c>
      <c r="Q27" s="1019">
        <f t="shared" si="12"/>
        <v>2.5990287483713903E-2</v>
      </c>
      <c r="R27" s="1019">
        <f t="shared" si="12"/>
        <v>2.9331244330832007E-2</v>
      </c>
      <c r="S27" s="1020">
        <f t="shared" si="12"/>
        <v>1.8890143959239714E-2</v>
      </c>
      <c r="T27" s="1019">
        <f t="shared" si="12"/>
        <v>9.9382788850888026E-3</v>
      </c>
      <c r="U27" s="1019">
        <f t="shared" si="12"/>
        <v>1.2744357682815677E-2</v>
      </c>
      <c r="V27" s="1019">
        <f t="shared" si="12"/>
        <v>8.917177866949455E-4</v>
      </c>
      <c r="W27" s="1019">
        <f t="shared" si="12"/>
        <v>2.8033363542803169E-3</v>
      </c>
      <c r="X27" s="1019">
        <f t="shared" si="12"/>
        <v>2.4968024079590201E-3</v>
      </c>
      <c r="Y27" s="1019">
        <f t="shared" si="12"/>
        <v>7.4170717777328754E-3</v>
      </c>
      <c r="Z27" s="1019">
        <f t="shared" si="12"/>
        <v>5.5852157249145495E-3</v>
      </c>
      <c r="AA27" s="1019">
        <f t="shared" si="12"/>
        <v>6.3902003607594349E-3</v>
      </c>
      <c r="AB27" s="1019">
        <f t="shared" si="12"/>
        <v>6.2544278820970689E-3</v>
      </c>
      <c r="AC27" s="1019">
        <f t="shared" si="12"/>
        <v>6.6127933770079306E-3</v>
      </c>
      <c r="AD27" s="1019">
        <f t="shared" si="12"/>
        <v>6.5669221091098073E-3</v>
      </c>
      <c r="AE27" s="1019">
        <f t="shared" si="12"/>
        <v>6.5818238868864398E-3</v>
      </c>
      <c r="AF27" s="1020">
        <f t="shared" si="12"/>
        <v>6.5848195263480402E-3</v>
      </c>
    </row>
    <row r="28" spans="2:33" x14ac:dyDescent="0.25">
      <c r="B28" s="35"/>
      <c r="C28" s="1011"/>
      <c r="D28" s="1009"/>
      <c r="E28" s="1009"/>
      <c r="F28" s="1009"/>
      <c r="G28" s="1009"/>
      <c r="H28" s="1009"/>
      <c r="I28" s="1009"/>
      <c r="J28" s="1009"/>
      <c r="K28" s="1009"/>
      <c r="L28" s="1009"/>
      <c r="M28" s="1009"/>
      <c r="N28" s="1009"/>
      <c r="O28" s="1009"/>
      <c r="P28" s="1009"/>
      <c r="Q28" s="1009"/>
      <c r="R28" s="1009"/>
      <c r="S28" s="1009"/>
      <c r="T28" s="1009"/>
      <c r="U28" s="1009"/>
      <c r="V28" s="1009"/>
      <c r="W28" s="1009"/>
      <c r="X28" s="1009"/>
      <c r="Y28" s="1009"/>
      <c r="Z28" s="1009"/>
      <c r="AA28" s="1009"/>
      <c r="AB28" s="1009"/>
      <c r="AC28" s="1009"/>
      <c r="AD28" s="1009"/>
      <c r="AE28" s="1009"/>
      <c r="AF28" s="1009"/>
    </row>
    <row r="29" spans="2:33" x14ac:dyDescent="0.25">
      <c r="B29" s="35"/>
      <c r="C29" s="1011"/>
      <c r="D29" s="1009"/>
      <c r="E29" s="1009"/>
      <c r="F29" s="1009"/>
      <c r="G29" s="1009"/>
      <c r="H29" s="1009"/>
      <c r="I29" s="1009"/>
      <c r="J29" s="1009"/>
      <c r="K29" s="1009"/>
      <c r="L29" s="1009"/>
      <c r="M29" s="1009"/>
      <c r="N29" s="1009"/>
      <c r="O29" s="1009"/>
      <c r="P29" s="1009"/>
      <c r="Q29" s="72"/>
      <c r="R29" s="1009"/>
      <c r="S29" s="1009"/>
      <c r="T29" s="1009"/>
      <c r="U29" s="1009"/>
      <c r="V29" s="1009"/>
      <c r="W29" s="1009"/>
      <c r="X29" s="1009"/>
      <c r="Y29" s="1009"/>
      <c r="Z29" s="1009"/>
      <c r="AA29" s="1009"/>
      <c r="AB29" s="1009"/>
      <c r="AC29" s="1009"/>
      <c r="AD29" s="1009"/>
      <c r="AE29" s="1009"/>
      <c r="AF29" s="1009"/>
    </row>
    <row r="30" spans="2:33" x14ac:dyDescent="0.25">
      <c r="B30" s="35"/>
      <c r="C30" s="1011"/>
      <c r="D30" s="1009"/>
      <c r="E30" s="1009"/>
      <c r="F30" s="1009"/>
      <c r="G30" s="1009"/>
      <c r="H30" s="1009"/>
      <c r="I30" s="1009"/>
      <c r="J30" s="1009"/>
      <c r="K30" s="1009"/>
      <c r="L30" s="1009"/>
      <c r="M30" s="1009"/>
      <c r="N30" s="1009"/>
      <c r="O30" s="1009"/>
      <c r="P30" s="1009"/>
      <c r="Q30" s="72"/>
      <c r="R30" s="1009"/>
      <c r="S30" s="1009"/>
      <c r="T30" s="1009"/>
      <c r="U30" s="1009"/>
      <c r="V30" s="1009"/>
      <c r="W30" s="1009"/>
      <c r="X30" s="1009"/>
      <c r="Y30" s="1009"/>
      <c r="Z30" s="1009"/>
      <c r="AA30" s="1009"/>
      <c r="AB30" s="1009"/>
      <c r="AC30" s="1009"/>
      <c r="AD30" s="1009"/>
      <c r="AE30" s="1009"/>
      <c r="AF30" s="1009"/>
    </row>
    <row r="31" spans="2:33" x14ac:dyDescent="0.25">
      <c r="B31" s="35"/>
      <c r="C31" s="1011"/>
      <c r="D31" s="1009"/>
      <c r="E31" s="1009"/>
      <c r="F31" s="1009"/>
      <c r="G31" s="1009"/>
      <c r="H31" s="1009"/>
      <c r="I31" s="1009"/>
      <c r="J31" s="1009"/>
      <c r="K31" s="1009"/>
      <c r="L31" s="1009"/>
      <c r="M31" s="1009"/>
      <c r="N31" s="1009"/>
      <c r="O31" s="1009"/>
      <c r="P31" s="1009"/>
      <c r="Q31" s="35"/>
      <c r="R31" s="1009"/>
      <c r="S31" s="1009"/>
      <c r="T31" s="1009"/>
      <c r="U31" s="1009"/>
      <c r="V31" s="1009"/>
      <c r="W31" s="1009"/>
      <c r="X31" s="1009"/>
      <c r="Y31" s="1009"/>
      <c r="Z31" s="1009"/>
      <c r="AA31" s="1009"/>
      <c r="AB31" s="1009"/>
      <c r="AC31" s="1009"/>
      <c r="AD31" s="1009"/>
      <c r="AE31" s="1009"/>
      <c r="AF31" s="1009"/>
    </row>
    <row r="32" spans="2:33" x14ac:dyDescent="0.25">
      <c r="B32" s="35"/>
      <c r="C32" s="1011"/>
      <c r="D32" s="1009"/>
      <c r="E32" s="1009"/>
      <c r="F32" s="1009"/>
      <c r="G32" s="1009"/>
      <c r="H32" s="1009"/>
      <c r="I32" s="1009"/>
      <c r="J32" s="1009"/>
      <c r="K32" s="1009"/>
      <c r="L32" s="1009"/>
      <c r="M32" s="1009"/>
      <c r="N32" s="1009"/>
      <c r="O32" s="1009"/>
      <c r="P32" s="1009"/>
      <c r="Q32" s="35"/>
      <c r="R32" s="1009"/>
      <c r="S32" s="1009"/>
      <c r="T32" s="1009"/>
      <c r="U32" s="1009"/>
      <c r="V32" s="1009"/>
      <c r="W32" s="1009"/>
      <c r="X32" s="1009"/>
      <c r="Y32" s="1009"/>
      <c r="Z32" s="1009"/>
      <c r="AA32" s="1009"/>
      <c r="AB32" s="1009"/>
      <c r="AC32" s="1009"/>
      <c r="AD32" s="1009"/>
      <c r="AE32" s="1009"/>
      <c r="AF32" s="1009"/>
    </row>
    <row r="33" spans="2:33" x14ac:dyDescent="0.25">
      <c r="B33" s="35"/>
      <c r="C33" s="1011"/>
      <c r="D33" s="1009"/>
      <c r="E33" s="1009"/>
      <c r="F33" s="1009"/>
      <c r="G33" s="1009"/>
      <c r="H33" s="1009"/>
      <c r="I33" s="1009"/>
      <c r="J33" s="1009"/>
      <c r="K33" s="1009"/>
      <c r="L33" s="1009"/>
      <c r="M33" s="1009"/>
      <c r="N33" s="1009"/>
      <c r="O33" s="1009"/>
      <c r="P33" s="1009"/>
      <c r="Q33" s="35"/>
      <c r="R33" s="1009"/>
      <c r="S33" s="1009"/>
      <c r="T33" s="1009"/>
      <c r="U33" s="1009"/>
      <c r="V33" s="1009"/>
      <c r="W33" s="1009"/>
      <c r="X33" s="1009"/>
      <c r="Y33" s="1009"/>
      <c r="Z33" s="1009"/>
      <c r="AA33" s="1009"/>
      <c r="AB33" s="1009"/>
      <c r="AC33" s="1009"/>
      <c r="AD33" s="1009"/>
      <c r="AE33" s="1009"/>
      <c r="AF33" s="1009"/>
    </row>
    <row r="34" spans="2:33" x14ac:dyDescent="0.25">
      <c r="B34" s="35"/>
      <c r="C34" s="1011"/>
      <c r="D34" s="1009"/>
      <c r="E34" s="1009"/>
      <c r="F34" s="1009"/>
      <c r="G34" s="1009"/>
      <c r="H34" s="1009"/>
      <c r="I34" s="1009"/>
      <c r="J34" s="1009"/>
      <c r="K34" s="1009"/>
      <c r="L34" s="1009"/>
      <c r="M34" s="1009"/>
      <c r="N34" s="1009"/>
      <c r="O34" s="1009"/>
      <c r="P34" s="1009"/>
      <c r="Q34" s="35"/>
      <c r="R34" s="1009"/>
      <c r="S34" s="1009"/>
      <c r="T34" s="1009"/>
      <c r="U34" s="1009"/>
      <c r="V34" s="1009"/>
      <c r="W34" s="1009"/>
      <c r="X34" s="1009"/>
      <c r="Y34" s="1009"/>
      <c r="Z34" s="1009"/>
      <c r="AA34" s="1009"/>
      <c r="AB34" s="1009"/>
      <c r="AC34" s="1009"/>
      <c r="AD34" s="1009"/>
      <c r="AE34" s="1009"/>
      <c r="AF34" s="1009"/>
    </row>
    <row r="35" spans="2:33" x14ac:dyDescent="0.25">
      <c r="B35" s="35"/>
      <c r="C35" s="1011"/>
      <c r="D35" s="1009"/>
      <c r="E35" s="1009"/>
      <c r="F35" s="1009"/>
      <c r="G35" s="1009"/>
      <c r="H35" s="1009"/>
      <c r="I35" s="1009"/>
      <c r="J35" s="1009"/>
      <c r="K35" s="1009"/>
      <c r="L35" s="1009"/>
      <c r="M35" s="1009"/>
      <c r="N35" s="1009"/>
      <c r="O35" s="1009"/>
      <c r="P35" s="1009"/>
      <c r="Q35" s="35"/>
      <c r="R35" s="1009"/>
      <c r="S35" s="1009"/>
      <c r="T35" s="1009"/>
      <c r="U35" s="1009"/>
      <c r="V35" s="1009"/>
      <c r="W35" s="1009"/>
      <c r="X35" s="1009"/>
      <c r="Y35" s="1009"/>
      <c r="Z35" s="1009"/>
      <c r="AA35" s="1009"/>
      <c r="AB35" s="1009"/>
      <c r="AC35" s="1009"/>
      <c r="AD35" s="1009"/>
      <c r="AE35" s="1009"/>
      <c r="AF35" s="1009"/>
    </row>
    <row r="36" spans="2:33" x14ac:dyDescent="0.25">
      <c r="B36" s="35"/>
      <c r="C36" s="1011"/>
      <c r="D36" s="1009"/>
      <c r="E36" s="1009"/>
      <c r="F36" s="1009"/>
      <c r="G36" s="1009"/>
      <c r="H36" s="1009"/>
      <c r="I36" s="1009"/>
      <c r="J36" s="1009"/>
      <c r="K36" s="1009"/>
      <c r="L36" s="1009"/>
      <c r="M36" s="1009"/>
      <c r="N36" s="1009"/>
      <c r="O36" s="1009"/>
      <c r="P36" s="1009"/>
      <c r="Q36" s="35"/>
      <c r="R36" s="1009"/>
      <c r="S36" s="1009"/>
      <c r="T36" s="1009"/>
      <c r="U36" s="1009"/>
      <c r="V36" s="1009"/>
      <c r="W36" s="1009"/>
      <c r="X36" s="1009"/>
      <c r="Y36" s="1009"/>
      <c r="Z36" s="1009"/>
      <c r="AA36" s="1009"/>
      <c r="AB36" s="1009"/>
      <c r="AC36" s="1009"/>
      <c r="AD36" s="1009"/>
      <c r="AE36" s="1009"/>
      <c r="AF36" s="1009"/>
    </row>
    <row r="37" spans="2:33" x14ac:dyDescent="0.25">
      <c r="B37" s="35"/>
      <c r="C37" s="1011"/>
      <c r="D37" s="1009"/>
      <c r="E37" s="1009"/>
      <c r="F37" s="1009"/>
      <c r="G37" s="1009"/>
      <c r="H37" s="1009"/>
      <c r="I37" s="1009"/>
      <c r="J37" s="1009"/>
      <c r="K37" s="1009"/>
      <c r="L37" s="1009"/>
      <c r="M37" s="1009"/>
      <c r="N37" s="1009"/>
      <c r="O37" s="1009"/>
      <c r="P37" s="1009"/>
      <c r="Q37" s="35"/>
      <c r="R37" s="1009"/>
      <c r="S37" s="1009"/>
      <c r="T37" s="1009"/>
      <c r="U37" s="1009"/>
      <c r="V37" s="1009"/>
      <c r="W37" s="1009"/>
      <c r="X37" s="1009"/>
      <c r="Y37" s="1009"/>
      <c r="Z37" s="1009"/>
      <c r="AA37" s="1009"/>
      <c r="AB37" s="1009"/>
      <c r="AC37" s="1009"/>
      <c r="AD37" s="1009"/>
      <c r="AE37" s="1009"/>
      <c r="AF37" s="1009"/>
    </row>
    <row r="38" spans="2:33" x14ac:dyDescent="0.25">
      <c r="B38" s="35"/>
      <c r="C38" s="1011"/>
      <c r="D38" s="1009"/>
      <c r="E38" s="1009"/>
      <c r="F38" s="1009"/>
      <c r="G38" s="1009"/>
      <c r="H38" s="1009"/>
      <c r="I38" s="1009"/>
      <c r="J38" s="1009"/>
      <c r="K38" s="1009"/>
      <c r="L38" s="1009"/>
      <c r="M38" s="1009"/>
      <c r="N38" s="1009"/>
      <c r="O38" s="1009"/>
      <c r="P38" s="1009"/>
      <c r="Q38" s="35"/>
      <c r="R38" s="1009"/>
      <c r="S38" s="1009"/>
      <c r="T38" s="1009"/>
      <c r="U38" s="1009"/>
      <c r="V38" s="1009"/>
      <c r="W38" s="1009"/>
      <c r="X38" s="1009"/>
      <c r="Y38" s="1009"/>
      <c r="Z38" s="1009"/>
      <c r="AA38" s="1009"/>
      <c r="AB38" s="1009"/>
      <c r="AC38" s="1009"/>
      <c r="AD38" s="1009"/>
      <c r="AE38" s="1009"/>
      <c r="AF38" s="1009"/>
    </row>
    <row r="39" spans="2:33" x14ac:dyDescent="0.25">
      <c r="B39" s="35"/>
      <c r="C39" s="1011"/>
      <c r="D39" s="1009"/>
      <c r="E39" s="1009"/>
      <c r="F39" s="1009"/>
      <c r="G39" s="1009"/>
      <c r="H39" s="1009"/>
      <c r="I39" s="1009"/>
      <c r="J39" s="1009"/>
      <c r="K39" s="1009"/>
      <c r="L39" s="1009"/>
      <c r="M39" s="1009"/>
      <c r="N39" s="1009"/>
      <c r="O39" s="1009"/>
      <c r="P39" s="1009"/>
      <c r="Q39" s="1009"/>
      <c r="R39" s="1009"/>
      <c r="S39" s="1009"/>
      <c r="T39" s="1009"/>
      <c r="U39" s="1009"/>
      <c r="V39" s="1009"/>
      <c r="W39" s="1009"/>
      <c r="X39" s="1009"/>
      <c r="Y39" s="1009"/>
      <c r="Z39" s="1009"/>
      <c r="AA39" s="1009"/>
      <c r="AB39" s="1009"/>
      <c r="AC39" s="1009"/>
      <c r="AD39" s="1009"/>
      <c r="AE39" s="1009"/>
      <c r="AF39" s="1009"/>
    </row>
    <row r="40" spans="2:33" x14ac:dyDescent="0.25">
      <c r="B40" s="35"/>
      <c r="C40" s="1011"/>
      <c r="D40" s="1009"/>
      <c r="E40" s="1009"/>
      <c r="F40" s="1009"/>
      <c r="G40" s="1009"/>
      <c r="H40" s="1009"/>
      <c r="I40" s="1009"/>
      <c r="J40" s="1009"/>
      <c r="K40" s="1009"/>
      <c r="L40" s="1009"/>
      <c r="M40" s="1009"/>
      <c r="N40" s="1009"/>
      <c r="O40" s="1009"/>
      <c r="P40" s="1009"/>
      <c r="Q40" s="1009"/>
      <c r="R40" s="1009"/>
      <c r="S40" s="1009"/>
      <c r="T40" s="1009"/>
      <c r="U40" s="1009"/>
      <c r="V40" s="1009"/>
      <c r="W40" s="1009"/>
      <c r="X40" s="1009"/>
      <c r="Y40" s="1009"/>
      <c r="Z40" s="1009"/>
      <c r="AA40" s="1009"/>
      <c r="AB40" s="1009"/>
      <c r="AC40" s="1009"/>
      <c r="AD40" s="1009"/>
      <c r="AE40" s="1009"/>
      <c r="AF40" s="1009"/>
    </row>
    <row r="41" spans="2:33" x14ac:dyDescent="0.25">
      <c r="B41" s="1013" t="s">
        <v>1836</v>
      </c>
      <c r="C41" s="1013"/>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row>
    <row r="42" spans="2:33" x14ac:dyDescent="0.25">
      <c r="B42" s="1362" t="s">
        <v>1715</v>
      </c>
      <c r="C42" s="1363"/>
      <c r="D42" s="1427" t="s">
        <v>1739</v>
      </c>
      <c r="E42" s="1428"/>
      <c r="F42" s="1428"/>
      <c r="G42" s="1428"/>
      <c r="H42" s="1428"/>
      <c r="I42" s="1428"/>
      <c r="J42" s="1428"/>
      <c r="K42" s="1428"/>
      <c r="L42" s="1428"/>
      <c r="M42" s="1428"/>
      <c r="N42" s="1428"/>
      <c r="O42" s="1428"/>
      <c r="P42" s="1428"/>
      <c r="Q42" s="1428"/>
      <c r="R42" s="1428"/>
      <c r="S42" s="1428"/>
      <c r="T42" s="1428"/>
      <c r="U42" s="1428"/>
      <c r="V42" s="1428"/>
      <c r="W42" s="1393" t="s">
        <v>1747</v>
      </c>
      <c r="X42" s="1393"/>
      <c r="Y42" s="1393"/>
      <c r="Z42" s="1393"/>
      <c r="AA42" s="1393"/>
      <c r="AB42" s="1393"/>
      <c r="AC42" s="1393"/>
      <c r="AD42" s="1393"/>
      <c r="AE42" s="1393"/>
      <c r="AF42" s="1393"/>
      <c r="AG42" s="1393"/>
    </row>
    <row r="43" spans="2:33" x14ac:dyDescent="0.25">
      <c r="B43" s="1364"/>
      <c r="C43" s="1365"/>
      <c r="D43" s="195">
        <v>2018</v>
      </c>
      <c r="E43" s="1359">
        <v>2019</v>
      </c>
      <c r="F43" s="1360"/>
      <c r="G43" s="1360"/>
      <c r="H43" s="1361"/>
      <c r="I43" s="1359">
        <v>2020</v>
      </c>
      <c r="J43" s="1360"/>
      <c r="K43" s="1360"/>
      <c r="L43" s="1360"/>
      <c r="M43" s="1359">
        <v>2021</v>
      </c>
      <c r="N43" s="1360"/>
      <c r="O43" s="1360"/>
      <c r="P43" s="1360"/>
      <c r="Q43" s="1371">
        <v>2022</v>
      </c>
      <c r="R43" s="1403"/>
      <c r="S43" s="1403"/>
      <c r="T43" s="1373"/>
      <c r="U43" s="221"/>
      <c r="V43" s="556">
        <v>2023</v>
      </c>
      <c r="W43" s="272"/>
      <c r="X43" s="272"/>
      <c r="Y43" s="1368">
        <v>2024</v>
      </c>
      <c r="Z43" s="1369"/>
      <c r="AA43" s="1369"/>
      <c r="AB43" s="1370"/>
      <c r="AC43" s="1368">
        <v>2025</v>
      </c>
      <c r="AD43" s="1369"/>
      <c r="AE43" s="1369"/>
      <c r="AF43" s="1369"/>
      <c r="AG43" s="233">
        <v>2026</v>
      </c>
    </row>
    <row r="44" spans="2:33" x14ac:dyDescent="0.25">
      <c r="B44" s="1366"/>
      <c r="C44" s="1367"/>
      <c r="D44" s="195" t="s">
        <v>282</v>
      </c>
      <c r="E44" s="195" t="s">
        <v>283</v>
      </c>
      <c r="F44" s="196" t="s">
        <v>284</v>
      </c>
      <c r="G44" s="196" t="s">
        <v>238</v>
      </c>
      <c r="H44" s="197" t="s">
        <v>282</v>
      </c>
      <c r="I44" s="196" t="s">
        <v>283</v>
      </c>
      <c r="J44" s="196" t="s">
        <v>284</v>
      </c>
      <c r="K44" s="196" t="s">
        <v>238</v>
      </c>
      <c r="L44" s="196" t="s">
        <v>282</v>
      </c>
      <c r="M44" s="195" t="s">
        <v>283</v>
      </c>
      <c r="N44" s="196" t="s">
        <v>284</v>
      </c>
      <c r="O44" s="196" t="s">
        <v>238</v>
      </c>
      <c r="P44" s="196" t="s">
        <v>282</v>
      </c>
      <c r="Q44" s="195" t="s">
        <v>283</v>
      </c>
      <c r="R44" s="196" t="s">
        <v>284</v>
      </c>
      <c r="S44" s="196" t="s">
        <v>238</v>
      </c>
      <c r="T44" s="197" t="s">
        <v>282</v>
      </c>
      <c r="U44" s="195" t="s">
        <v>283</v>
      </c>
      <c r="V44" s="196" t="s">
        <v>284</v>
      </c>
      <c r="W44" s="312" t="s">
        <v>238</v>
      </c>
      <c r="X44" s="312" t="s">
        <v>282</v>
      </c>
      <c r="Y44" s="421" t="s">
        <v>283</v>
      </c>
      <c r="Z44" s="320" t="s">
        <v>284</v>
      </c>
      <c r="AA44" s="312" t="s">
        <v>238</v>
      </c>
      <c r="AB44" s="420" t="s">
        <v>282</v>
      </c>
      <c r="AC44" s="251" t="s">
        <v>283</v>
      </c>
      <c r="AD44" s="312" t="s">
        <v>284</v>
      </c>
      <c r="AE44" s="312" t="s">
        <v>238</v>
      </c>
      <c r="AF44" s="312" t="s">
        <v>282</v>
      </c>
      <c r="AG44" s="254" t="s">
        <v>283</v>
      </c>
    </row>
    <row r="45" spans="2:33" x14ac:dyDescent="0.25">
      <c r="B45" s="1021" t="s">
        <v>2281</v>
      </c>
      <c r="C45" s="981"/>
      <c r="D45" s="975">
        <f>('Haver Pivoted'!GO76+1)^4-1</f>
        <v>1.5264497223703488E-2</v>
      </c>
      <c r="E45" s="1016">
        <f>('Haver Pivoted'!GP76+1)^4-1</f>
        <v>9.1895436648135043E-3</v>
      </c>
      <c r="F45" s="1016">
        <f>('Haver Pivoted'!GQ76+1)^4-1</f>
        <v>2.1359335668051704E-2</v>
      </c>
      <c r="G45" s="1016">
        <f>('Haver Pivoted'!GR76+1)^4-1</f>
        <v>9.7821561759856568E-3</v>
      </c>
      <c r="H45" s="1016">
        <f>('Haver Pivoted'!GS76+1)^4-1</f>
        <v>1.5756743276972518E-2</v>
      </c>
      <c r="I45" s="1016">
        <f>('Haver Pivoted'!GT76+1)^4-1</f>
        <v>1.2975809403218186E-2</v>
      </c>
      <c r="J45" s="1016">
        <f>('Haver Pivoted'!GU76+1)^4-1</f>
        <v>-1.727886877748519E-2</v>
      </c>
      <c r="K45" s="1016">
        <f>('Haver Pivoted'!GV76+1)^4-1</f>
        <v>3.3383553321530757E-2</v>
      </c>
      <c r="L45" s="1016">
        <f>('Haver Pivoted'!GW76+1)^4-1</f>
        <v>2.0146820681233191E-2</v>
      </c>
      <c r="M45" s="1016">
        <f>('Haver Pivoted'!GX76+1)^4-1</f>
        <v>4.7725552632172041E-2</v>
      </c>
      <c r="N45" s="1016">
        <f>('Haver Pivoted'!GY76+1)^4-1</f>
        <v>6.2593648340676156E-2</v>
      </c>
      <c r="O45" s="1016">
        <f>('Haver Pivoted'!GZ76+1)^4-1</f>
        <v>5.6496850547917088E-2</v>
      </c>
      <c r="P45" s="1016">
        <f>('Haver Pivoted'!HA76+1)^4-1</f>
        <v>6.7608172830647684E-2</v>
      </c>
      <c r="Q45" s="1016">
        <f>('Haver Pivoted'!HB76+1)^4-1</f>
        <v>7.6571358087944352E-2</v>
      </c>
      <c r="R45" s="1016">
        <f>('Haver Pivoted'!HC76+1)^4-1</f>
        <v>7.1828427694202057E-2</v>
      </c>
      <c r="S45" s="976">
        <f>('Haver Pivoted'!HD76+1)^4-1</f>
        <v>4.6758931657381764E-2</v>
      </c>
      <c r="T45" s="1015">
        <f>('Haver Pivoted'!HE76+1)^4-1</f>
        <v>4.1448566443352153E-2</v>
      </c>
      <c r="U45" s="976">
        <f>('Haver Pivoted'!HF76+1)^4-1</f>
        <v>4.1651997755371317E-2</v>
      </c>
      <c r="V45" s="976">
        <f>('Haver Pivoted'!HG76+1)^4-1</f>
        <v>2.4870541532459711E-2</v>
      </c>
      <c r="W45" s="976">
        <f>('Haver Pivoted'!HH76+1)^4-1</f>
        <v>2.5905176927918383E-2</v>
      </c>
      <c r="X45" s="976">
        <f>('Haver Pivoted'!HI76+1)^4-1</f>
        <v>1.7898288181300792E-2</v>
      </c>
      <c r="Y45" s="984">
        <f>Y46+Y47</f>
        <v>3.0028432984637133E-2</v>
      </c>
      <c r="Z45" s="984">
        <f t="shared" ref="Z45:AF45" si="13">Z46+Z47</f>
        <v>2.7261380221050395E-2</v>
      </c>
      <c r="AA45" s="984">
        <f t="shared" si="13"/>
        <v>2.4142963947836771E-2</v>
      </c>
      <c r="AB45" s="984">
        <f t="shared" si="13"/>
        <v>2.2024345405476264E-2</v>
      </c>
      <c r="AC45" s="984">
        <f t="shared" si="13"/>
        <v>2.2420730666689481E-2</v>
      </c>
      <c r="AD45" s="984">
        <f t="shared" si="13"/>
        <v>2.219418453989408E-2</v>
      </c>
      <c r="AE45" s="984">
        <f t="shared" si="13"/>
        <v>2.193798465649599E-2</v>
      </c>
      <c r="AF45" s="984">
        <f t="shared" si="13"/>
        <v>2.1537819131734581E-2</v>
      </c>
    </row>
    <row r="46" spans="2:33" x14ac:dyDescent="0.25">
      <c r="B46" s="79" t="s">
        <v>2280</v>
      </c>
      <c r="C46" s="1526" t="s">
        <v>1704</v>
      </c>
      <c r="D46" s="985">
        <f>('Haver Pivoted'!GO76+1)^4-1</f>
        <v>1.5264497223703488E-2</v>
      </c>
      <c r="E46" s="985">
        <f>('Haver Pivoted'!GP76+1)^4-1</f>
        <v>9.1895436648135043E-3</v>
      </c>
      <c r="F46" s="985">
        <f>('Haver Pivoted'!GQ76+1)^4-1</f>
        <v>2.1359335668051704E-2</v>
      </c>
      <c r="G46" s="985">
        <f>('Haver Pivoted'!GR76+1)^4-1</f>
        <v>9.7821561759856568E-3</v>
      </c>
      <c r="H46" s="985">
        <f>('Haver Pivoted'!GS76+1)^4-1</f>
        <v>1.5756743276972518E-2</v>
      </c>
      <c r="I46" s="985">
        <f>('Haver Pivoted'!GT76+1)^4-1</f>
        <v>1.2975809403218186E-2</v>
      </c>
      <c r="J46" s="985">
        <f>('Haver Pivoted'!GU76+1)^4-1</f>
        <v>-1.727886877748519E-2</v>
      </c>
      <c r="K46" s="985">
        <f>('Haver Pivoted'!GV76+1)^4-1</f>
        <v>3.3383553321530757E-2</v>
      </c>
      <c r="L46" s="985">
        <f>('Haver Pivoted'!GW76+1)^4-1</f>
        <v>2.0146820681233191E-2</v>
      </c>
      <c r="M46" s="985">
        <f>('Haver Pivoted'!GX76+1)^4-1</f>
        <v>4.7725552632172041E-2</v>
      </c>
      <c r="N46" s="985">
        <f>('Haver Pivoted'!GY76+1)^4-1</f>
        <v>6.2593648340676156E-2</v>
      </c>
      <c r="O46" s="985">
        <f>('Haver Pivoted'!GZ76+1)^4-1</f>
        <v>5.6496850547917088E-2</v>
      </c>
      <c r="P46" s="985">
        <f>('Haver Pivoted'!HA76+1)^4-1</f>
        <v>6.7608172830647684E-2</v>
      </c>
      <c r="Q46" s="985">
        <f>('Haver Pivoted'!HB76+1)^4-1</f>
        <v>7.6571358087944352E-2</v>
      </c>
      <c r="R46" s="985">
        <f>('Haver Pivoted'!HC76+1)^4-1</f>
        <v>7.1828427694202057E-2</v>
      </c>
      <c r="S46" s="985">
        <f>('Haver Pivoted'!HD76+1)^4-1</f>
        <v>4.6758931657381764E-2</v>
      </c>
      <c r="T46" s="985">
        <f>('Haver Pivoted'!HE76+1)^4-1</f>
        <v>4.1448566443352153E-2</v>
      </c>
      <c r="U46" s="985">
        <f>('Haver Pivoted'!HF76+1)^4-1</f>
        <v>4.1651997755371317E-2</v>
      </c>
      <c r="V46" s="985">
        <f>('Haver Pivoted'!HG76+1)^4-1</f>
        <v>2.4870541532459711E-2</v>
      </c>
      <c r="W46" s="985">
        <f>('Haver Pivoted'!HH76+1)^4-1</f>
        <v>2.5905176927918383E-2</v>
      </c>
      <c r="X46" s="985">
        <f>('Haver Pivoted'!HI76+1)^4-1</f>
        <v>1.7898288181300792E-2</v>
      </c>
      <c r="Y46" s="1528">
        <f>(Y70/X70)^4-1</f>
        <v>1.8528432984637133E-2</v>
      </c>
      <c r="Z46" s="1528">
        <f t="shared" ref="Z46:AG46" si="14">(Z70/Y70)^4-1</f>
        <v>2.1261380221050397E-2</v>
      </c>
      <c r="AA46" s="1528">
        <f t="shared" si="14"/>
        <v>2.2142963947836769E-2</v>
      </c>
      <c r="AB46" s="1528">
        <f t="shared" si="14"/>
        <v>2.2024345405476264E-2</v>
      </c>
      <c r="AC46" s="1528">
        <f t="shared" si="14"/>
        <v>2.2420730666689481E-2</v>
      </c>
      <c r="AD46" s="1528">
        <f t="shared" si="14"/>
        <v>2.219418453989408E-2</v>
      </c>
      <c r="AE46" s="1528">
        <f t="shared" si="14"/>
        <v>2.193798465649599E-2</v>
      </c>
      <c r="AF46" s="1528">
        <f t="shared" si="14"/>
        <v>2.1537819131734581E-2</v>
      </c>
      <c r="AG46" s="1528"/>
    </row>
    <row r="47" spans="2:33" x14ac:dyDescent="0.25">
      <c r="B47" s="79" t="s">
        <v>2282</v>
      </c>
      <c r="C47" s="1526"/>
      <c r="D47" s="985"/>
      <c r="E47" s="1528"/>
      <c r="F47" s="1528"/>
      <c r="G47" s="1528"/>
      <c r="H47" s="1528"/>
      <c r="I47" s="1528"/>
      <c r="J47" s="1528"/>
      <c r="K47" s="1528"/>
      <c r="L47" s="1528"/>
      <c r="M47" s="1528"/>
      <c r="N47" s="1528"/>
      <c r="O47" s="1528"/>
      <c r="P47" s="1528"/>
      <c r="Q47" s="1528"/>
      <c r="R47" s="1528"/>
      <c r="S47" s="1523"/>
      <c r="T47" s="1523"/>
      <c r="U47" s="1523"/>
      <c r="V47" s="1523"/>
      <c r="W47" s="1523"/>
      <c r="X47" s="1523"/>
      <c r="Y47" s="1527">
        <v>1.15E-2</v>
      </c>
      <c r="Z47" s="1527">
        <v>6.0000000000000001E-3</v>
      </c>
      <c r="AA47" s="1527">
        <v>2E-3</v>
      </c>
      <c r="AB47" s="1527"/>
      <c r="AC47" s="1527"/>
      <c r="AD47" s="1527"/>
      <c r="AE47" s="1527"/>
      <c r="AF47" s="1527"/>
      <c r="AG47" s="1528"/>
    </row>
    <row r="48" spans="2:33" x14ac:dyDescent="0.25">
      <c r="B48" s="47" t="s">
        <v>1717</v>
      </c>
      <c r="C48" s="1011" t="s">
        <v>1705</v>
      </c>
      <c r="D48" s="985">
        <f>('Haver Pivoted'!GO77+1)^4-1</f>
        <v>2.9477765289275926E-2</v>
      </c>
      <c r="E48" s="1009">
        <f>('Haver Pivoted'!GP77+1)^4-1</f>
        <v>4.2202135370129845E-2</v>
      </c>
      <c r="F48" s="1009">
        <f>('Haver Pivoted'!GQ77+1)^4-1</f>
        <v>-2.3704834981612466E-2</v>
      </c>
      <c r="G48" s="1009">
        <f>('Haver Pivoted'!GR77+1)^4-1</f>
        <v>6.4629467492742787E-3</v>
      </c>
      <c r="H48" s="1009">
        <f>('Haver Pivoted'!GS77+1)^4-1</f>
        <v>1.3942439977386201E-2</v>
      </c>
      <c r="I48" s="1009">
        <f>('Haver Pivoted'!GT77+1)^4-1</f>
        <v>1.2621468504538935E-2</v>
      </c>
      <c r="J48" s="1009">
        <f>('Haver Pivoted'!GU77+1)^4-1</f>
        <v>9.5192305533120525E-4</v>
      </c>
      <c r="K48" s="1009">
        <f>('Haver Pivoted'!GV77+1)^4-1</f>
        <v>2.3028813031033213E-2</v>
      </c>
      <c r="L48" s="1009">
        <f>('Haver Pivoted'!GW77+1)^4-1</f>
        <v>2.9378026710950689E-2</v>
      </c>
      <c r="M48" s="1009">
        <f>('Haver Pivoted'!GX77+1)^4-1</f>
        <v>3.4124335135575334E-2</v>
      </c>
      <c r="N48" s="1009">
        <f>('Haver Pivoted'!GY77+1)^4-1</f>
        <v>3.9538213787325915E-2</v>
      </c>
      <c r="O48" s="1009">
        <f>('Haver Pivoted'!GZ77+1)^4-1</f>
        <v>4.1165152093425528E-2</v>
      </c>
      <c r="P48" s="1009">
        <f>('Haver Pivoted'!HA77+1)^4-1</f>
        <v>4.6364460300687638E-2</v>
      </c>
      <c r="Q48" s="1009">
        <f>('Haver Pivoted'!HB77+1)^4-1</f>
        <v>7.2410998904413937E-2</v>
      </c>
      <c r="R48" s="1009">
        <f>('Haver Pivoted'!HC77+1)^4-1</f>
        <v>6.8511037124212137E-2</v>
      </c>
      <c r="S48" s="1012">
        <f>('Haver Pivoted'!HD77+1)^4-1</f>
        <v>4.8282007704063767E-2</v>
      </c>
      <c r="T48" s="1012">
        <f>('Haver Pivoted'!HE77+1)^4-1</f>
        <v>4.093597497107293E-2</v>
      </c>
      <c r="U48" s="1012">
        <f>('Haver Pivoted'!HF77+1)^4-1</f>
        <v>4.1330736826713066E-2</v>
      </c>
      <c r="V48" s="1012">
        <f>('Haver Pivoted'!HG77+1)^4-1</f>
        <v>2.0643513935327373E-2</v>
      </c>
      <c r="W48" s="1012">
        <f>('Haver Pivoted'!HH77+1)^4-1</f>
        <v>3.9726565698527727E-2</v>
      </c>
      <c r="X48" s="1012">
        <f>('Haver Pivoted'!HI77+1)^4-1</f>
        <v>3.9575951716406488E-2</v>
      </c>
      <c r="Y48" s="1009">
        <f t="shared" ref="Y48:AF48" si="15">(Y71/X71)^4-1</f>
        <v>2.368922809614471E-2</v>
      </c>
      <c r="Z48" s="1009">
        <f t="shared" si="15"/>
        <v>2.5560753162319871E-2</v>
      </c>
      <c r="AA48" s="1009">
        <f t="shared" si="15"/>
        <v>2.6823859858580823E-2</v>
      </c>
      <c r="AB48" s="1009">
        <f t="shared" si="15"/>
        <v>2.8273165683778689E-2</v>
      </c>
      <c r="AC48" s="1009">
        <f t="shared" si="15"/>
        <v>2.6045669819017236E-2</v>
      </c>
      <c r="AD48" s="1009">
        <f t="shared" si="15"/>
        <v>2.5611732233809859E-2</v>
      </c>
      <c r="AE48" s="1009">
        <f t="shared" si="15"/>
        <v>2.5262944090287176E-2</v>
      </c>
      <c r="AF48" s="1009">
        <f t="shared" si="15"/>
        <v>2.4650693380256383E-2</v>
      </c>
    </row>
    <row r="49" spans="2:41" x14ac:dyDescent="0.25">
      <c r="B49" s="47" t="s">
        <v>1718</v>
      </c>
      <c r="C49" s="1011" t="s">
        <v>1706</v>
      </c>
      <c r="D49" s="985">
        <f>('Haver Pivoted'!GO78+1)^4-1</f>
        <v>1.7606158659444704E-2</v>
      </c>
      <c r="E49" s="1009">
        <f>('Haver Pivoted'!GP78+1)^4-1</f>
        <v>-1.7151418638734928E-2</v>
      </c>
      <c r="F49" s="1009">
        <f>('Haver Pivoted'!GQ78+1)^4-1</f>
        <v>2.7663740902592604E-2</v>
      </c>
      <c r="G49" s="1009">
        <f>('Haver Pivoted'!GR78+1)^4-1</f>
        <v>1.5104723907904294E-2</v>
      </c>
      <c r="H49" s="1009">
        <f>('Haver Pivoted'!GS78+1)^4-1</f>
        <v>2.4480958799653285E-2</v>
      </c>
      <c r="I49" s="1009">
        <f>('Haver Pivoted'!GT78+1)^4-1</f>
        <v>5.2574904831641067E-2</v>
      </c>
      <c r="J49" s="1009">
        <f>('Haver Pivoted'!GU78+1)^4-1</f>
        <v>-8.4277759405785302E-3</v>
      </c>
      <c r="K49" s="1009">
        <f>('Haver Pivoted'!GV78+1)^4-1</f>
        <v>4.907445416510936E-2</v>
      </c>
      <c r="L49" s="1009">
        <f>('Haver Pivoted'!GW78+1)^4-1</f>
        <v>5.0954864858178572E-2</v>
      </c>
      <c r="M49" s="1009">
        <f>('Haver Pivoted'!GX78+1)^4-1</f>
        <v>9.2354867824980369E-2</v>
      </c>
      <c r="N49" s="1009">
        <f>('Haver Pivoted'!GY78+1)^4-1</f>
        <v>7.5885854631137173E-2</v>
      </c>
      <c r="O49" s="1009">
        <f>('Haver Pivoted'!GZ78+1)^4-1</f>
        <v>6.4839018796936099E-2</v>
      </c>
      <c r="P49" s="1009">
        <f>('Haver Pivoted'!HA78+1)^4-1</f>
        <v>7.8606616627874493E-2</v>
      </c>
      <c r="Q49" s="1009">
        <f>('Haver Pivoted'!HB78+1)^4-1</f>
        <v>9.0996244334734522E-2</v>
      </c>
      <c r="R49" s="1009">
        <f>('Haver Pivoted'!HC78+1)^4-1</f>
        <v>0.13763433325959551</v>
      </c>
      <c r="S49" s="1012">
        <f>('Haver Pivoted'!HD78+1)^4-1</f>
        <v>1.6839709416048398E-2</v>
      </c>
      <c r="T49" s="1012">
        <f>('Haver Pivoted'!HE78+1)^4-1</f>
        <v>2.7352303497218955E-2</v>
      </c>
      <c r="U49" s="1012">
        <f>('Haver Pivoted'!HF78+1)^4-1</f>
        <v>-6.3056175150344451E-5</v>
      </c>
      <c r="V49" s="1012">
        <f>('Haver Pivoted'!HG78+1)^4-1</f>
        <v>-2.8662130748749126E-2</v>
      </c>
      <c r="W49" s="1012">
        <f>('Haver Pivoted'!HH78+1)^4-1</f>
        <v>5.7410273514926002E-2</v>
      </c>
      <c r="X49" s="1012">
        <f>('Haver Pivoted'!HI78+1)^4-1</f>
        <v>6.4988621204677965E-3</v>
      </c>
      <c r="Y49" s="1009">
        <v>0.03</v>
      </c>
      <c r="Z49" s="1009">
        <f t="shared" ref="Z49:AF49" si="16">(Z72/Y72)^4-1</f>
        <v>2.2528728595983205E-2</v>
      </c>
      <c r="AA49" s="1009">
        <f t="shared" si="16"/>
        <v>2.5806854841063931E-2</v>
      </c>
      <c r="AB49" s="1009">
        <f t="shared" si="16"/>
        <v>2.5253398906930347E-2</v>
      </c>
      <c r="AC49" s="1009">
        <f t="shared" si="16"/>
        <v>2.6714706322067405E-2</v>
      </c>
      <c r="AD49" s="1009">
        <f t="shared" si="16"/>
        <v>2.6527569872117907E-2</v>
      </c>
      <c r="AE49" s="1009">
        <f t="shared" si="16"/>
        <v>2.658836036739487E-2</v>
      </c>
      <c r="AF49" s="1009">
        <f t="shared" si="16"/>
        <v>2.6600581141736246E-2</v>
      </c>
    </row>
    <row r="50" spans="2:41" x14ac:dyDescent="0.25">
      <c r="B50" s="47" t="s">
        <v>1719</v>
      </c>
      <c r="C50" s="1011" t="s">
        <v>1707</v>
      </c>
      <c r="D50" s="985">
        <f>('Haver Pivoted'!GO79+1)^4-1</f>
        <v>1.2331231439726587E-2</v>
      </c>
      <c r="E50" s="1009">
        <f>('Haver Pivoted'!GP79+1)^4-1</f>
        <v>-2.4548871147293649E-2</v>
      </c>
      <c r="F50" s="1009">
        <f>('Haver Pivoted'!GQ79+1)^4-1</f>
        <v>2.4115177005201271E-2</v>
      </c>
      <c r="G50" s="1009">
        <f>('Haver Pivoted'!GR79+1)^4-1</f>
        <v>1.4753974603383124E-2</v>
      </c>
      <c r="H50" s="1009">
        <f>('Haver Pivoted'!GS79+1)^4-1</f>
        <v>2.894174832740215E-2</v>
      </c>
      <c r="I50" s="1009">
        <f>('Haver Pivoted'!GT79+1)^4-1</f>
        <v>6.2522667611889737E-2</v>
      </c>
      <c r="J50" s="1009">
        <f>('Haver Pivoted'!GU79+1)^4-1</f>
        <v>-7.4240991087901609E-3</v>
      </c>
      <c r="K50" s="1009">
        <f>('Haver Pivoted'!GV79+1)^4-1</f>
        <v>5.0929448665746779E-2</v>
      </c>
      <c r="L50" s="1009">
        <f>('Haver Pivoted'!GW79+1)^4-1</f>
        <v>5.7456046457014187E-2</v>
      </c>
      <c r="M50" s="1009">
        <f>('Haver Pivoted'!GX79+1)^4-1</f>
        <v>9.8185028225247883E-2</v>
      </c>
      <c r="N50" s="1009">
        <f>('Haver Pivoted'!GY79+1)^4-1</f>
        <v>7.1275335420445396E-2</v>
      </c>
      <c r="O50" s="1009">
        <f>('Haver Pivoted'!GZ79+1)^4-1</f>
        <v>6.0639425152128945E-2</v>
      </c>
      <c r="P50" s="1009">
        <f>('Haver Pivoted'!HA79+1)^4-1</f>
        <v>7.3083340350689641E-2</v>
      </c>
      <c r="Q50" s="1009">
        <f>('Haver Pivoted'!HB79+1)^4-1</f>
        <v>8.7536929602414215E-2</v>
      </c>
      <c r="R50" s="1009">
        <f>('Haver Pivoted'!HC79+1)^4-1</f>
        <v>0.14059958977185572</v>
      </c>
      <c r="S50" s="1012">
        <f>('Haver Pivoted'!HD79+1)^4-1</f>
        <v>5.1674533625485353E-3</v>
      </c>
      <c r="T50" s="1012">
        <f>('Haver Pivoted'!HE79+1)^4-1</f>
        <v>2.4708021569921135E-2</v>
      </c>
      <c r="U50" s="1012">
        <f>('Haver Pivoted'!HF79+1)^4-1</f>
        <v>-1.0701402735953436E-2</v>
      </c>
      <c r="V50" s="1012">
        <f>('Haver Pivoted'!HG79+1)^4-1</f>
        <v>-3.5605877057299118E-2</v>
      </c>
      <c r="W50" s="1012">
        <f>('Haver Pivoted'!HH79+1)^4-1</f>
        <v>6.8186173678186135E-2</v>
      </c>
      <c r="X50" s="1012">
        <f>('Haver Pivoted'!HI79+1)^4-1</f>
        <v>5.6734763882242412E-3</v>
      </c>
      <c r="Y50" s="1009">
        <f t="shared" ref="Y50:AF51" si="17">Y49</f>
        <v>0.03</v>
      </c>
      <c r="Z50" s="1009">
        <f t="shared" si="17"/>
        <v>2.2528728595983205E-2</v>
      </c>
      <c r="AA50" s="1009">
        <f t="shared" si="17"/>
        <v>2.5806854841063931E-2</v>
      </c>
      <c r="AB50" s="1009">
        <f t="shared" si="17"/>
        <v>2.5253398906930347E-2</v>
      </c>
      <c r="AC50" s="1009">
        <f t="shared" si="17"/>
        <v>2.6714706322067405E-2</v>
      </c>
      <c r="AD50" s="1009">
        <f t="shared" si="17"/>
        <v>2.6527569872117907E-2</v>
      </c>
      <c r="AE50" s="1009">
        <f t="shared" si="17"/>
        <v>2.658836036739487E-2</v>
      </c>
      <c r="AF50" s="1009">
        <f t="shared" si="17"/>
        <v>2.6600581141736246E-2</v>
      </c>
    </row>
    <row r="51" spans="2:41" x14ac:dyDescent="0.25">
      <c r="B51" s="305" t="s">
        <v>1720</v>
      </c>
      <c r="C51" s="982" t="s">
        <v>1708</v>
      </c>
      <c r="D51" s="988">
        <f>('Haver Pivoted'!GO80+1)^4-1</f>
        <v>4.0962242441666019E-2</v>
      </c>
      <c r="E51" s="989">
        <f>('Haver Pivoted'!GP80+1)^4-1</f>
        <v>1.5719050974356552E-2</v>
      </c>
      <c r="F51" s="989">
        <f>('Haver Pivoted'!GQ80+1)^4-1</f>
        <v>4.3088224053848823E-2</v>
      </c>
      <c r="G51" s="989">
        <f>('Haver Pivoted'!GR80+1)^4-1</f>
        <v>1.6823112159823461E-2</v>
      </c>
      <c r="H51" s="989">
        <f>('Haver Pivoted'!GS80+1)^4-1</f>
        <v>5.3982501773912617E-3</v>
      </c>
      <c r="I51" s="989">
        <f>('Haver Pivoted'!GT80+1)^4-1</f>
        <v>9.7871671399678561E-3</v>
      </c>
      <c r="J51" s="989">
        <f>('Haver Pivoted'!GU80+1)^4-1</f>
        <v>-1.264897125361697E-2</v>
      </c>
      <c r="K51" s="989">
        <f>('Haver Pivoted'!GV80+1)^4-1</f>
        <v>4.0611329344794056E-2</v>
      </c>
      <c r="L51" s="989">
        <f>('Haver Pivoted'!GW80+1)^4-1</f>
        <v>2.1607225299700827E-2</v>
      </c>
      <c r="M51" s="989">
        <f>('Haver Pivoted'!GX80+1)^4-1</f>
        <v>6.5587978667649205E-2</v>
      </c>
      <c r="N51" s="989">
        <f>('Haver Pivoted'!GY80+1)^4-1</f>
        <v>9.6562691223789132E-2</v>
      </c>
      <c r="O51" s="989">
        <f>('Haver Pivoted'!GZ80+1)^4-1</f>
        <v>8.4807929469169041E-2</v>
      </c>
      <c r="P51" s="989">
        <f>('Haver Pivoted'!HA80+1)^4-1</f>
        <v>0.1057724485451752</v>
      </c>
      <c r="Q51" s="989">
        <f>('Haver Pivoted'!HB80+1)^4-1</f>
        <v>0.10808480173082224</v>
      </c>
      <c r="R51" s="989">
        <f>('Haver Pivoted'!HC80+1)^4-1</f>
        <v>0.12258858608776269</v>
      </c>
      <c r="S51" s="974">
        <f>('Haver Pivoted'!HD80+1)^4-1</f>
        <v>7.7728691252704651E-2</v>
      </c>
      <c r="T51" s="974">
        <f>('Haver Pivoted'!HE80+1)^4-1</f>
        <v>4.0349668009795225E-2</v>
      </c>
      <c r="U51" s="974">
        <f>('Haver Pivoted'!HF80+1)^4-1</f>
        <v>5.1960248713186719E-2</v>
      </c>
      <c r="V51" s="974">
        <f>('Haver Pivoted'!HG80+1)^4-1</f>
        <v>3.571644947314212E-3</v>
      </c>
      <c r="W51" s="974">
        <f>('Haver Pivoted'!HH80+1)^4-1</f>
        <v>1.126058576943012E-2</v>
      </c>
      <c r="X51" s="974">
        <f>('Haver Pivoted'!HI80+1)^4-1</f>
        <v>1.0024676064772642E-2</v>
      </c>
      <c r="Y51" s="989">
        <f t="shared" si="17"/>
        <v>0.03</v>
      </c>
      <c r="Z51" s="989">
        <f t="shared" si="17"/>
        <v>2.2528728595983205E-2</v>
      </c>
      <c r="AA51" s="989">
        <f t="shared" si="17"/>
        <v>2.5806854841063931E-2</v>
      </c>
      <c r="AB51" s="989">
        <f t="shared" si="17"/>
        <v>2.5253398906930347E-2</v>
      </c>
      <c r="AC51" s="989">
        <f t="shared" si="17"/>
        <v>2.6714706322067405E-2</v>
      </c>
      <c r="AD51" s="989">
        <f t="shared" si="17"/>
        <v>2.6527569872117907E-2</v>
      </c>
      <c r="AE51" s="989">
        <f t="shared" si="17"/>
        <v>2.658836036739487E-2</v>
      </c>
      <c r="AF51" s="989">
        <f t="shared" si="17"/>
        <v>2.6600581141736246E-2</v>
      </c>
    </row>
    <row r="52" spans="2:41" x14ac:dyDescent="0.25">
      <c r="B52" s="35"/>
      <c r="C52" s="1011"/>
      <c r="D52" s="1009"/>
      <c r="E52" s="1009"/>
      <c r="F52" s="1009"/>
      <c r="G52" s="1009"/>
      <c r="H52" s="1009"/>
      <c r="I52" s="1009"/>
      <c r="J52" s="1009"/>
      <c r="K52" s="1009"/>
      <c r="L52" s="1009"/>
      <c r="M52" s="1009"/>
      <c r="N52" s="1009"/>
      <c r="O52" s="1009"/>
      <c r="P52" s="1009"/>
      <c r="Q52" s="1009"/>
      <c r="R52" s="1009"/>
      <c r="S52" s="1012"/>
      <c r="T52" s="1012"/>
      <c r="U52" s="1012"/>
      <c r="V52" s="1012"/>
      <c r="W52" s="1012"/>
      <c r="X52" s="1009"/>
      <c r="AB52" s="1009"/>
      <c r="AC52" s="1009"/>
      <c r="AD52" s="1009"/>
      <c r="AE52" s="1009"/>
      <c r="AF52" s="1009"/>
    </row>
    <row r="53" spans="2:41" x14ac:dyDescent="0.25">
      <c r="B53" s="35"/>
      <c r="C53" s="1011"/>
      <c r="D53" s="1009"/>
      <c r="E53" s="1009"/>
      <c r="F53" s="1009"/>
      <c r="G53" s="1009"/>
      <c r="H53" s="1009"/>
      <c r="I53" s="1009"/>
      <c r="J53" s="1009"/>
      <c r="K53" s="1009"/>
      <c r="L53" s="1009"/>
      <c r="M53" s="1009"/>
      <c r="N53" s="1009"/>
      <c r="O53" s="1009"/>
      <c r="P53" s="1009"/>
      <c r="Q53" s="1009"/>
      <c r="R53" s="1009"/>
      <c r="S53" s="1012"/>
      <c r="T53" s="1012"/>
      <c r="U53" s="1012"/>
      <c r="V53" s="1012"/>
      <c r="W53" s="1012"/>
      <c r="X53" s="1009"/>
      <c r="AB53" s="1009"/>
      <c r="AC53" s="1009"/>
      <c r="AD53" s="1009"/>
      <c r="AE53" s="1009"/>
      <c r="AF53" s="1009"/>
    </row>
    <row r="54" spans="2:41" x14ac:dyDescent="0.25">
      <c r="B54" s="35"/>
      <c r="C54" s="1011"/>
      <c r="D54" s="1009"/>
      <c r="E54" s="1009"/>
      <c r="F54" s="1009"/>
      <c r="G54" s="1009"/>
      <c r="H54" s="1009"/>
      <c r="I54" s="1009"/>
      <c r="J54" s="1009"/>
      <c r="K54" s="1009"/>
      <c r="L54" s="1009"/>
      <c r="M54" s="1009"/>
      <c r="N54" s="1009"/>
      <c r="O54" s="1009"/>
      <c r="P54" s="1009"/>
      <c r="Q54" s="1009"/>
      <c r="R54" s="1009"/>
      <c r="S54" s="1012"/>
      <c r="T54" s="1012"/>
      <c r="U54" s="1012"/>
      <c r="V54" s="1012"/>
      <c r="W54" s="1012"/>
      <c r="X54" s="1009"/>
      <c r="AB54" s="1009"/>
      <c r="AC54" s="1009"/>
      <c r="AD54" s="1009"/>
      <c r="AE54" s="1009"/>
      <c r="AF54" s="1009"/>
    </row>
    <row r="55" spans="2:41" x14ac:dyDescent="0.25">
      <c r="B55" s="35"/>
      <c r="C55" s="1011"/>
      <c r="D55" s="1009"/>
      <c r="E55" s="1009"/>
      <c r="F55" s="1009"/>
      <c r="G55" s="1009"/>
      <c r="H55" s="1009"/>
      <c r="I55" s="1009"/>
      <c r="J55" s="1009"/>
      <c r="K55" s="1009"/>
      <c r="L55" s="1009"/>
      <c r="M55" s="1009"/>
      <c r="N55" s="1009"/>
      <c r="O55" s="1009"/>
      <c r="P55" s="1009"/>
      <c r="Q55" s="1009"/>
      <c r="R55" s="1009"/>
      <c r="S55" s="1012"/>
      <c r="T55" s="1012"/>
      <c r="U55" s="1012"/>
      <c r="V55" s="1012"/>
      <c r="W55" s="1012"/>
      <c r="X55" s="1009"/>
      <c r="AB55" s="1009"/>
      <c r="AC55" s="1009"/>
      <c r="AD55" s="1009"/>
      <c r="AE55" s="1009"/>
      <c r="AF55" s="1009"/>
    </row>
    <row r="56" spans="2:41" x14ac:dyDescent="0.25">
      <c r="B56" s="35"/>
      <c r="C56" s="1011"/>
      <c r="D56" s="1009"/>
      <c r="E56" s="1009"/>
      <c r="F56" s="1009"/>
      <c r="G56" s="1009"/>
      <c r="H56" s="1009"/>
      <c r="I56" s="1009"/>
      <c r="J56" s="1009"/>
      <c r="K56" s="1009"/>
      <c r="L56" s="1009"/>
      <c r="M56" s="1009"/>
      <c r="N56" s="1009"/>
      <c r="O56" s="1009"/>
      <c r="P56" s="1009"/>
      <c r="Q56" s="1009"/>
      <c r="R56" s="1009"/>
      <c r="S56" s="1012"/>
      <c r="T56" s="1012"/>
      <c r="U56" s="1012"/>
      <c r="V56" s="1012"/>
      <c r="W56" s="1012"/>
      <c r="X56" s="1009"/>
      <c r="AB56" s="1009"/>
      <c r="AC56" s="1009"/>
      <c r="AD56" s="1009"/>
      <c r="AE56" s="1009"/>
      <c r="AF56" s="1009"/>
    </row>
    <row r="57" spans="2:41" x14ac:dyDescent="0.25">
      <c r="B57" s="35"/>
      <c r="C57" s="1011"/>
      <c r="D57" s="1009"/>
      <c r="E57" s="1009"/>
      <c r="F57" s="1009"/>
      <c r="G57" s="1009"/>
      <c r="H57" s="1009"/>
      <c r="I57" s="1009"/>
      <c r="J57" s="1009"/>
      <c r="K57" s="1009"/>
      <c r="L57" s="1009"/>
      <c r="M57" s="1009"/>
      <c r="N57" s="1009"/>
      <c r="O57" s="1009"/>
      <c r="P57" s="1009"/>
      <c r="Q57" s="1009"/>
      <c r="R57" s="1009"/>
      <c r="S57" s="1012"/>
      <c r="T57" s="1012"/>
      <c r="U57" s="1012"/>
      <c r="V57" s="1012"/>
      <c r="W57" s="1012"/>
      <c r="X57" s="1009"/>
      <c r="AB57" s="1009"/>
      <c r="AC57" s="1009"/>
      <c r="AD57" s="1009"/>
      <c r="AE57" s="1009"/>
      <c r="AF57" s="1009"/>
    </row>
    <row r="58" spans="2:41" x14ac:dyDescent="0.25">
      <c r="B58" s="35"/>
      <c r="C58" s="1011"/>
      <c r="D58" s="1009"/>
      <c r="E58" s="1009"/>
      <c r="F58" s="1009"/>
      <c r="G58" s="1009"/>
      <c r="H58" s="1009"/>
      <c r="I58" s="1009"/>
      <c r="J58" s="1009"/>
      <c r="K58" s="1009"/>
      <c r="L58" s="1009"/>
      <c r="M58" s="1009"/>
      <c r="N58" s="1009"/>
      <c r="O58" s="1009"/>
      <c r="P58" s="1009"/>
      <c r="Q58" s="1009"/>
      <c r="R58" s="1009"/>
      <c r="S58" s="1012"/>
      <c r="T58" s="1012"/>
      <c r="U58" s="1012"/>
      <c r="V58" s="1012"/>
      <c r="W58" s="1012"/>
      <c r="X58" s="1009"/>
      <c r="AB58" s="1009"/>
      <c r="AC58" s="1009"/>
      <c r="AD58" s="1009"/>
      <c r="AE58" s="1009"/>
      <c r="AF58" s="1009"/>
    </row>
    <row r="59" spans="2:41" x14ac:dyDescent="0.25">
      <c r="B59" s="35"/>
      <c r="C59" s="1011"/>
      <c r="D59" s="1009"/>
      <c r="E59" s="1009"/>
      <c r="F59" s="1009"/>
      <c r="G59" s="1009"/>
      <c r="H59" s="1009"/>
      <c r="I59" s="1009"/>
      <c r="J59" s="1009"/>
      <c r="K59" s="1009"/>
      <c r="L59" s="1009"/>
      <c r="M59" s="1009"/>
      <c r="N59" s="1009"/>
      <c r="O59" s="1009"/>
      <c r="P59" s="1009"/>
      <c r="Q59" s="1009"/>
      <c r="R59" s="1009"/>
      <c r="S59" s="1009"/>
      <c r="T59" s="1009"/>
      <c r="U59" s="1009"/>
      <c r="V59" s="1009"/>
      <c r="W59" s="1009"/>
      <c r="X59" s="1009"/>
      <c r="Y59" s="1009"/>
      <c r="Z59" s="1009"/>
      <c r="AA59" s="1009"/>
      <c r="AB59" s="1009"/>
      <c r="AC59" s="1009"/>
      <c r="AD59" s="1009"/>
      <c r="AE59" s="1009"/>
      <c r="AF59" s="1009"/>
    </row>
    <row r="60" spans="2:41" ht="14.45" customHeight="1" x14ac:dyDescent="0.25">
      <c r="B60" s="1455" t="s">
        <v>1740</v>
      </c>
      <c r="C60" s="1455"/>
      <c r="D60" s="1455"/>
      <c r="E60" s="1455"/>
      <c r="F60" s="229"/>
      <c r="G60" s="229"/>
      <c r="H60" s="229"/>
      <c r="I60" s="229"/>
      <c r="J60" s="229"/>
      <c r="K60" s="229"/>
      <c r="L60" s="229"/>
      <c r="M60" s="229"/>
      <c r="N60" s="229"/>
      <c r="O60" s="229"/>
      <c r="P60" s="229"/>
      <c r="Q60" s="229"/>
      <c r="R60" s="229"/>
      <c r="S60" s="229"/>
      <c r="T60" s="229"/>
      <c r="U60" s="229"/>
      <c r="V60" s="229"/>
      <c r="W60" s="229"/>
      <c r="X60" s="229"/>
      <c r="Y60" s="229"/>
      <c r="Z60" s="229"/>
      <c r="AA60" s="229"/>
      <c r="AB60" s="229"/>
      <c r="AC60" s="229"/>
    </row>
    <row r="61" spans="2:41" ht="30" customHeight="1" x14ac:dyDescent="0.25">
      <c r="B61" s="1001" t="s">
        <v>1957</v>
      </c>
      <c r="C61" s="973"/>
      <c r="D61" s="200">
        <v>2018</v>
      </c>
      <c r="E61" s="1371">
        <v>2019</v>
      </c>
      <c r="F61" s="1403"/>
      <c r="G61" s="1403"/>
      <c r="H61" s="1373"/>
      <c r="I61" s="1371">
        <v>2020</v>
      </c>
      <c r="J61" s="1403"/>
      <c r="K61" s="1403"/>
      <c r="L61" s="1403"/>
      <c r="M61" s="1371">
        <v>2021</v>
      </c>
      <c r="N61" s="1403"/>
      <c r="O61" s="1403"/>
      <c r="P61" s="1403"/>
      <c r="Q61" s="1388">
        <v>2022</v>
      </c>
      <c r="R61" s="1389"/>
      <c r="S61" s="270"/>
      <c r="T61" s="279"/>
      <c r="U61" s="221"/>
      <c r="V61" s="556">
        <v>2023</v>
      </c>
      <c r="W61" s="272"/>
      <c r="X61" s="272"/>
      <c r="Y61" s="1368">
        <v>2024</v>
      </c>
      <c r="Z61" s="1369"/>
      <c r="AA61" s="1369"/>
      <c r="AB61" s="1370"/>
      <c r="AC61" s="1368">
        <v>2025</v>
      </c>
      <c r="AD61" s="1369"/>
      <c r="AE61" s="1369"/>
      <c r="AF61" s="1370"/>
      <c r="AG61" s="233">
        <v>2026</v>
      </c>
    </row>
    <row r="62" spans="2:41" x14ac:dyDescent="0.25">
      <c r="B62" s="991"/>
      <c r="C62" s="222"/>
      <c r="D62" s="195" t="s">
        <v>282</v>
      </c>
      <c r="E62" s="195" t="s">
        <v>283</v>
      </c>
      <c r="F62" s="196" t="s">
        <v>284</v>
      </c>
      <c r="G62" s="196" t="s">
        <v>238</v>
      </c>
      <c r="H62" s="197" t="s">
        <v>282</v>
      </c>
      <c r="I62" s="196" t="s">
        <v>283</v>
      </c>
      <c r="J62" s="196" t="s">
        <v>284</v>
      </c>
      <c r="K62" s="196" t="s">
        <v>238</v>
      </c>
      <c r="L62" s="196" t="s">
        <v>282</v>
      </c>
      <c r="M62" s="195" t="s">
        <v>283</v>
      </c>
      <c r="N62" s="196" t="s">
        <v>284</v>
      </c>
      <c r="O62" s="196" t="s">
        <v>238</v>
      </c>
      <c r="P62" s="196" t="s">
        <v>282</v>
      </c>
      <c r="Q62" s="195" t="s">
        <v>283</v>
      </c>
      <c r="R62" s="196" t="s">
        <v>284</v>
      </c>
      <c r="S62" s="196" t="s">
        <v>238</v>
      </c>
      <c r="T62" s="197" t="s">
        <v>282</v>
      </c>
      <c r="U62" s="195" t="s">
        <v>283</v>
      </c>
      <c r="V62" s="196" t="s">
        <v>284</v>
      </c>
      <c r="W62" s="312" t="s">
        <v>238</v>
      </c>
      <c r="X62" s="312" t="s">
        <v>282</v>
      </c>
      <c r="Y62" s="421" t="s">
        <v>283</v>
      </c>
      <c r="Z62" s="320" t="s">
        <v>284</v>
      </c>
      <c r="AA62" s="312" t="s">
        <v>238</v>
      </c>
      <c r="AB62" s="420" t="s">
        <v>282</v>
      </c>
      <c r="AC62" s="421" t="s">
        <v>283</v>
      </c>
      <c r="AD62" s="312" t="s">
        <v>284</v>
      </c>
      <c r="AE62" s="312" t="s">
        <v>238</v>
      </c>
      <c r="AF62" s="420" t="s">
        <v>282</v>
      </c>
      <c r="AG62" s="254" t="s">
        <v>283</v>
      </c>
    </row>
    <row r="63" spans="2:41" ht="28.5" customHeight="1" x14ac:dyDescent="0.25">
      <c r="B63" s="473" t="s">
        <v>1958</v>
      </c>
      <c r="C63" s="35" t="s">
        <v>1722</v>
      </c>
      <c r="D63" s="216"/>
      <c r="E63" s="216"/>
      <c r="F63" s="216"/>
      <c r="G63" s="216"/>
      <c r="H63" s="216"/>
      <c r="I63" s="216"/>
      <c r="J63" s="216"/>
      <c r="K63" s="216"/>
      <c r="L63" s="216"/>
      <c r="M63" s="216"/>
      <c r="N63" s="216"/>
      <c r="O63" s="216"/>
      <c r="P63" s="216"/>
      <c r="Q63" s="216"/>
      <c r="R63" s="216"/>
      <c r="S63" s="429">
        <v>17684.2</v>
      </c>
      <c r="T63" s="429">
        <v>17917</v>
      </c>
      <c r="U63" s="429">
        <v>18269.599999999999</v>
      </c>
      <c r="V63" s="429">
        <v>18419</v>
      </c>
      <c r="W63" s="429">
        <v>18711.599999999999</v>
      </c>
      <c r="X63" s="429">
        <v>18910.599999999999</v>
      </c>
      <c r="Y63" s="429">
        <v>19051.2</v>
      </c>
      <c r="Z63" s="429">
        <v>19203.099999999999</v>
      </c>
      <c r="AA63" s="429">
        <v>19375.8</v>
      </c>
      <c r="AB63" s="429">
        <v>19556.2</v>
      </c>
      <c r="AC63" s="429">
        <v>19758.5</v>
      </c>
      <c r="AD63" s="429">
        <v>19957.7</v>
      </c>
      <c r="AE63" s="429">
        <v>20156.599999999999</v>
      </c>
      <c r="AF63" s="429">
        <v>20359.900000000001</v>
      </c>
    </row>
    <row r="64" spans="2:41" ht="26.25" customHeight="1" x14ac:dyDescent="0.25">
      <c r="B64" s="992" t="s">
        <v>1960</v>
      </c>
      <c r="C64" s="35" t="s">
        <v>1723</v>
      </c>
      <c r="D64" s="47"/>
      <c r="E64" s="35"/>
      <c r="F64" s="35"/>
      <c r="G64" s="35"/>
      <c r="H64" s="35"/>
      <c r="I64" s="35"/>
      <c r="J64" s="35"/>
      <c r="K64" s="35"/>
      <c r="L64" s="35"/>
      <c r="M64" s="35"/>
      <c r="N64" s="35"/>
      <c r="O64" s="35"/>
      <c r="P64" s="35"/>
      <c r="Q64" s="35"/>
      <c r="R64" s="35"/>
      <c r="S64" s="429">
        <v>1636.3</v>
      </c>
      <c r="T64" s="429">
        <v>1691.8</v>
      </c>
      <c r="U64" s="429">
        <v>1730.6</v>
      </c>
      <c r="V64" s="429">
        <v>1744.3</v>
      </c>
      <c r="W64" s="429">
        <v>1791.6</v>
      </c>
      <c r="X64" s="429">
        <v>1795.9</v>
      </c>
      <c r="Y64" s="429">
        <v>1804.5</v>
      </c>
      <c r="Z64" s="429">
        <v>1815.8</v>
      </c>
      <c r="AA64" s="429">
        <v>1831.3</v>
      </c>
      <c r="AB64" s="429">
        <v>1845.1</v>
      </c>
      <c r="AC64" s="429">
        <v>1856.5</v>
      </c>
      <c r="AD64" s="429">
        <v>1868.4</v>
      </c>
      <c r="AE64" s="429">
        <v>1881.1</v>
      </c>
      <c r="AF64" s="429">
        <v>1895</v>
      </c>
      <c r="AG64" s="995"/>
      <c r="AH64" s="995"/>
      <c r="AI64" s="995"/>
      <c r="AJ64" s="995"/>
      <c r="AK64" s="995"/>
      <c r="AL64" s="995"/>
      <c r="AM64" s="995"/>
      <c r="AN64" s="995"/>
      <c r="AO64" s="995"/>
    </row>
    <row r="65" spans="2:48" ht="26.25" customHeight="1" x14ac:dyDescent="0.25">
      <c r="B65" s="992" t="s">
        <v>1962</v>
      </c>
      <c r="C65" s="35" t="s">
        <v>1723</v>
      </c>
      <c r="D65" s="47"/>
      <c r="E65" s="35"/>
      <c r="F65" s="35"/>
      <c r="G65" s="35"/>
      <c r="H65" s="35"/>
      <c r="I65" s="35"/>
      <c r="J65" s="35"/>
      <c r="K65" s="35"/>
      <c r="L65" s="35"/>
      <c r="M65" s="35"/>
      <c r="N65" s="35"/>
      <c r="O65" s="35"/>
      <c r="P65" s="35"/>
      <c r="Q65" s="35"/>
      <c r="R65" s="35"/>
      <c r="S65" s="429">
        <v>2841.5</v>
      </c>
      <c r="T65" s="429">
        <v>2880.6</v>
      </c>
      <c r="U65" s="429">
        <v>2913.2</v>
      </c>
      <c r="V65" s="429">
        <v>2925.5</v>
      </c>
      <c r="W65" s="429">
        <v>3000.9</v>
      </c>
      <c r="X65" s="429">
        <v>3026.5</v>
      </c>
      <c r="Y65" s="429">
        <v>3047.5</v>
      </c>
      <c r="Z65" s="429">
        <v>3074.1</v>
      </c>
      <c r="AA65" s="429">
        <v>3101.3</v>
      </c>
      <c r="AB65" s="429">
        <v>3128.3</v>
      </c>
      <c r="AC65" s="429">
        <v>3157.3</v>
      </c>
      <c r="AD65" s="429">
        <v>3186.8</v>
      </c>
      <c r="AE65" s="429">
        <v>3217</v>
      </c>
      <c r="AF65" s="429">
        <v>3247.2</v>
      </c>
      <c r="AG65" s="996"/>
      <c r="AH65" s="996"/>
      <c r="AI65" s="996"/>
      <c r="AJ65" s="996"/>
      <c r="AK65" s="996"/>
      <c r="AL65" s="996"/>
      <c r="AM65" s="996"/>
      <c r="AN65" s="996"/>
      <c r="AO65" s="996"/>
    </row>
    <row r="66" spans="2:48" ht="26.25" customHeight="1" x14ac:dyDescent="0.25">
      <c r="B66" s="992" t="s">
        <v>1959</v>
      </c>
      <c r="C66" s="35" t="s">
        <v>1724</v>
      </c>
      <c r="D66" s="47"/>
      <c r="E66" s="35"/>
      <c r="F66" s="35"/>
      <c r="G66" s="35"/>
      <c r="H66" s="35"/>
      <c r="I66" s="35"/>
      <c r="J66" s="35"/>
      <c r="K66" s="35"/>
      <c r="L66" s="35"/>
      <c r="M66" s="35"/>
      <c r="N66" s="35"/>
      <c r="O66" s="35"/>
      <c r="P66" s="35"/>
      <c r="Q66" s="35"/>
      <c r="R66" s="35"/>
      <c r="S66" s="429">
        <v>15127.4</v>
      </c>
      <c r="T66" s="429">
        <v>15171.4</v>
      </c>
      <c r="U66" s="429">
        <v>15312.9</v>
      </c>
      <c r="V66" s="429">
        <v>15343.6</v>
      </c>
      <c r="W66" s="429">
        <v>15479.5</v>
      </c>
      <c r="X66" s="429">
        <v>15557.8</v>
      </c>
      <c r="Y66" s="429">
        <v>15601.7</v>
      </c>
      <c r="Z66" s="429">
        <v>15643.6</v>
      </c>
      <c r="AA66" s="429">
        <v>15698.1</v>
      </c>
      <c r="AB66" s="429">
        <v>15758.2</v>
      </c>
      <c r="AC66" s="429">
        <v>15833.2</v>
      </c>
      <c r="AD66" s="429">
        <v>15905.3</v>
      </c>
      <c r="AE66" s="429">
        <v>15976.9</v>
      </c>
      <c r="AF66" s="429">
        <v>16052.3</v>
      </c>
      <c r="AG66" s="996"/>
      <c r="AH66" s="996"/>
      <c r="AI66" s="996"/>
      <c r="AJ66" s="996"/>
      <c r="AK66" s="996"/>
      <c r="AL66" s="996"/>
      <c r="AM66" s="996"/>
      <c r="AN66" s="996"/>
      <c r="AO66" s="996"/>
    </row>
    <row r="67" spans="2:48" ht="26.25" customHeight="1" x14ac:dyDescent="0.25">
      <c r="B67" s="992" t="s">
        <v>1960</v>
      </c>
      <c r="C67" s="35" t="s">
        <v>1725</v>
      </c>
      <c r="D67" s="47"/>
      <c r="E67" s="35"/>
      <c r="F67" s="35"/>
      <c r="G67" s="35"/>
      <c r="H67" s="35"/>
      <c r="I67" s="35"/>
      <c r="J67" s="35"/>
      <c r="K67" s="35"/>
      <c r="L67" s="35"/>
      <c r="M67" s="35"/>
      <c r="N67" s="35"/>
      <c r="O67" s="35"/>
      <c r="P67" s="35"/>
      <c r="Q67" s="35"/>
      <c r="R67" s="35"/>
      <c r="S67" s="429">
        <v>1411.2</v>
      </c>
      <c r="T67" s="429">
        <v>1444.5</v>
      </c>
      <c r="U67" s="429">
        <v>1462.8</v>
      </c>
      <c r="V67" s="429">
        <v>1466.9</v>
      </c>
      <c r="W67" s="429">
        <v>1491.8</v>
      </c>
      <c r="X67" s="429">
        <v>1487.8</v>
      </c>
      <c r="Y67" s="429">
        <v>1486.2</v>
      </c>
      <c r="Z67" s="429">
        <v>1486.1</v>
      </c>
      <c r="AA67" s="429">
        <v>1488.9</v>
      </c>
      <c r="AB67" s="429">
        <v>1489.7</v>
      </c>
      <c r="AC67" s="429">
        <v>1489.3</v>
      </c>
      <c r="AD67" s="429">
        <v>1489.4</v>
      </c>
      <c r="AE67" s="429">
        <v>1490.2</v>
      </c>
      <c r="AF67" s="429">
        <v>1492.1</v>
      </c>
      <c r="AG67" s="996"/>
      <c r="AH67" s="996"/>
      <c r="AI67" s="996"/>
      <c r="AJ67" s="996"/>
      <c r="AK67" s="996"/>
      <c r="AL67" s="996"/>
      <c r="AM67" s="996"/>
      <c r="AN67" s="996"/>
      <c r="AO67" s="996"/>
    </row>
    <row r="68" spans="2:48" ht="26.1" customHeight="1" x14ac:dyDescent="0.25">
      <c r="B68" s="992" t="s">
        <v>1961</v>
      </c>
      <c r="C68" s="36" t="s">
        <v>1726</v>
      </c>
      <c r="D68" s="47"/>
      <c r="E68" s="35"/>
      <c r="F68" s="35"/>
      <c r="G68" s="35"/>
      <c r="H68" s="35"/>
      <c r="I68" s="35"/>
      <c r="J68" s="35"/>
      <c r="K68" s="35"/>
      <c r="L68" s="35"/>
      <c r="M68" s="35"/>
      <c r="N68" s="35"/>
      <c r="O68" s="35"/>
      <c r="P68" s="35"/>
      <c r="Q68" s="35"/>
      <c r="R68" s="35"/>
      <c r="S68" s="429">
        <v>2255.1</v>
      </c>
      <c r="T68" s="429">
        <v>2270.8000000000002</v>
      </c>
      <c r="U68" s="429">
        <v>2296.5</v>
      </c>
      <c r="V68" s="429">
        <v>2323</v>
      </c>
      <c r="W68" s="429">
        <v>2349.5</v>
      </c>
      <c r="X68" s="429">
        <v>2358</v>
      </c>
      <c r="Y68" s="429">
        <v>2367.4</v>
      </c>
      <c r="Z68" s="429">
        <v>2374.8000000000002</v>
      </c>
      <c r="AA68" s="429">
        <v>2380.6</v>
      </c>
      <c r="AB68" s="429">
        <v>2386.4</v>
      </c>
      <c r="AC68" s="429">
        <v>2392.6999999999998</v>
      </c>
      <c r="AD68" s="429">
        <v>2399.3000000000002</v>
      </c>
      <c r="AE68" s="429">
        <v>2406.1999999999998</v>
      </c>
      <c r="AF68" s="429">
        <v>2412.9</v>
      </c>
      <c r="AK68" s="996"/>
      <c r="AL68" s="996"/>
      <c r="AM68" s="996"/>
      <c r="AN68" s="996"/>
      <c r="AO68" s="996"/>
    </row>
    <row r="69" spans="2:48" x14ac:dyDescent="0.25">
      <c r="B69" s="1002"/>
      <c r="C69" s="1003"/>
      <c r="D69" s="977"/>
      <c r="E69" s="977"/>
      <c r="F69" s="977"/>
      <c r="G69" s="977"/>
      <c r="H69" s="977"/>
      <c r="I69" s="977"/>
      <c r="J69" s="977"/>
      <c r="K69" s="977"/>
      <c r="L69" s="977"/>
      <c r="M69" s="977"/>
      <c r="N69" s="977"/>
      <c r="O69" s="977"/>
      <c r="P69" s="977"/>
      <c r="Q69" s="977"/>
      <c r="R69" s="977"/>
      <c r="S69" s="977"/>
      <c r="T69" s="978" t="s">
        <v>1712</v>
      </c>
      <c r="U69" s="1004"/>
      <c r="V69" s="1004"/>
      <c r="W69" s="1004"/>
      <c r="X69" s="1004"/>
      <c r="Y69" s="1004"/>
      <c r="Z69" s="1004"/>
      <c r="AA69" s="1004"/>
      <c r="AB69" s="1004"/>
      <c r="AC69" s="1004"/>
      <c r="AD69" s="1004"/>
      <c r="AE69" s="1004"/>
      <c r="AF69" s="1005"/>
      <c r="AG69" s="222"/>
      <c r="AH69" s="222"/>
      <c r="AI69" s="222"/>
      <c r="AJ69" s="222"/>
      <c r="AK69" s="222"/>
      <c r="AL69" s="222"/>
      <c r="AM69" s="222"/>
      <c r="AN69" s="222"/>
      <c r="AO69" s="222"/>
      <c r="AP69" s="35"/>
      <c r="AQ69" s="35"/>
      <c r="AR69" s="35"/>
      <c r="AS69" s="35"/>
      <c r="AT69" s="35"/>
      <c r="AU69" s="35"/>
      <c r="AV69" s="35"/>
    </row>
    <row r="70" spans="2:48" x14ac:dyDescent="0.25">
      <c r="B70" s="1021" t="s">
        <v>1716</v>
      </c>
      <c r="C70" s="438"/>
      <c r="D70" s="439"/>
      <c r="E70" s="439"/>
      <c r="F70" s="439"/>
      <c r="G70" s="439"/>
      <c r="H70" s="439"/>
      <c r="I70" s="439"/>
      <c r="J70" s="439"/>
      <c r="K70" s="439"/>
      <c r="L70" s="439"/>
      <c r="M70" s="439"/>
      <c r="N70" s="439"/>
      <c r="O70" s="439"/>
      <c r="P70" s="439"/>
      <c r="Q70" s="439"/>
      <c r="R70" s="439"/>
      <c r="S70" s="998">
        <f t="shared" ref="S70:AF70" si="18">S63/S66</f>
        <v>1.1690178087443976</v>
      </c>
      <c r="T70" s="998">
        <f t="shared" si="18"/>
        <v>1.1809720922261624</v>
      </c>
      <c r="U70" s="998">
        <f t="shared" si="18"/>
        <v>1.1930855683769892</v>
      </c>
      <c r="V70" s="998">
        <f t="shared" si="18"/>
        <v>1.2004353606715503</v>
      </c>
      <c r="W70" s="998">
        <f t="shared" si="18"/>
        <v>1.2087987338092314</v>
      </c>
      <c r="X70" s="998">
        <f t="shared" si="18"/>
        <v>1.2155060484130147</v>
      </c>
      <c r="Y70" s="998">
        <f t="shared" si="18"/>
        <v>1.2210977008915695</v>
      </c>
      <c r="Z70" s="998">
        <f t="shared" si="18"/>
        <v>1.2275371397887953</v>
      </c>
      <c r="AA70" s="998">
        <f t="shared" si="18"/>
        <v>1.2342767596078505</v>
      </c>
      <c r="AB70" s="998">
        <f t="shared" si="18"/>
        <v>1.2410173750809101</v>
      </c>
      <c r="AC70" s="998">
        <f t="shared" si="18"/>
        <v>1.2479157719222898</v>
      </c>
      <c r="AD70" s="998">
        <f t="shared" si="18"/>
        <v>1.2547829968626811</v>
      </c>
      <c r="AE70" s="998">
        <f t="shared" si="18"/>
        <v>1.2616089479185573</v>
      </c>
      <c r="AF70" s="979">
        <f t="shared" si="18"/>
        <v>1.2683478380045228</v>
      </c>
      <c r="AG70" s="995"/>
      <c r="AH70" s="995"/>
      <c r="AI70" s="995"/>
      <c r="AJ70" s="995"/>
      <c r="AK70" s="995"/>
      <c r="AL70" s="995"/>
      <c r="AM70" s="995"/>
      <c r="AN70" s="995"/>
      <c r="AO70" s="995"/>
    </row>
    <row r="71" spans="2:48" x14ac:dyDescent="0.25">
      <c r="B71" s="47" t="s">
        <v>1717</v>
      </c>
      <c r="C71" s="205"/>
      <c r="D71" s="35"/>
      <c r="E71" s="35"/>
      <c r="F71" s="35"/>
      <c r="G71" s="35"/>
      <c r="H71" s="35"/>
      <c r="I71" s="35"/>
      <c r="J71" s="35"/>
      <c r="K71" s="35"/>
      <c r="L71" s="35"/>
      <c r="M71" s="35"/>
      <c r="N71" s="35"/>
      <c r="O71" s="35"/>
      <c r="P71" s="35"/>
      <c r="Q71" s="35"/>
      <c r="R71" s="35"/>
      <c r="S71" s="994">
        <f t="shared" ref="S71:AF71" si="19">S64/S67</f>
        <v>1.1595096371882085</v>
      </c>
      <c r="T71" s="994">
        <f t="shared" si="19"/>
        <v>1.1712011076497058</v>
      </c>
      <c r="U71" s="994">
        <f t="shared" si="19"/>
        <v>1.1830735575608422</v>
      </c>
      <c r="V71" s="994">
        <f t="shared" si="19"/>
        <v>1.1891062785465947</v>
      </c>
      <c r="W71" s="994">
        <f t="shared" si="19"/>
        <v>1.2009652768467622</v>
      </c>
      <c r="X71" s="994">
        <f t="shared" si="19"/>
        <v>1.2070842855222477</v>
      </c>
      <c r="Y71" s="994">
        <f t="shared" si="19"/>
        <v>1.2141703673798949</v>
      </c>
      <c r="Z71" s="994">
        <f t="shared" si="19"/>
        <v>1.2218558643429109</v>
      </c>
      <c r="AA71" s="994">
        <f t="shared" si="19"/>
        <v>1.2299684330713949</v>
      </c>
      <c r="AB71" s="994">
        <f t="shared" si="19"/>
        <v>1.2385715244680136</v>
      </c>
      <c r="AC71" s="994">
        <f t="shared" si="19"/>
        <v>1.246558786006849</v>
      </c>
      <c r="AD71" s="994">
        <f t="shared" si="19"/>
        <v>1.2544648851886666</v>
      </c>
      <c r="AE71" s="994">
        <f t="shared" si="19"/>
        <v>1.2623137833847804</v>
      </c>
      <c r="AF71" s="999">
        <f t="shared" si="19"/>
        <v>1.2700221164801289</v>
      </c>
      <c r="AG71" s="996"/>
      <c r="AH71" s="996"/>
      <c r="AI71" s="996"/>
      <c r="AJ71" s="996"/>
      <c r="AK71" s="996"/>
      <c r="AL71" s="996"/>
      <c r="AM71" s="996"/>
      <c r="AN71" s="996"/>
      <c r="AO71" s="996"/>
    </row>
    <row r="72" spans="2:48" x14ac:dyDescent="0.25">
      <c r="B72" s="305" t="s">
        <v>1718</v>
      </c>
      <c r="C72" s="206"/>
      <c r="D72" s="36"/>
      <c r="E72" s="36"/>
      <c r="F72" s="36"/>
      <c r="G72" s="36"/>
      <c r="H72" s="36"/>
      <c r="I72" s="36"/>
      <c r="J72" s="36"/>
      <c r="K72" s="36"/>
      <c r="L72" s="36"/>
      <c r="M72" s="36"/>
      <c r="N72" s="36"/>
      <c r="O72" s="36"/>
      <c r="P72" s="36"/>
      <c r="Q72" s="36"/>
      <c r="R72" s="36"/>
      <c r="S72" s="997">
        <f t="shared" ref="S72:AF72" si="20">S65/S68</f>
        <v>1.2600328145093345</v>
      </c>
      <c r="T72" s="997">
        <f t="shared" si="20"/>
        <v>1.268539721683988</v>
      </c>
      <c r="U72" s="997">
        <f t="shared" si="20"/>
        <v>1.2685390812105377</v>
      </c>
      <c r="V72" s="997">
        <f t="shared" si="20"/>
        <v>1.2593628928110203</v>
      </c>
      <c r="W72" s="997">
        <f t="shared" si="20"/>
        <v>1.2772504788252821</v>
      </c>
      <c r="X72" s="997">
        <f t="shared" si="20"/>
        <v>1.2835029686174724</v>
      </c>
      <c r="Y72" s="997">
        <f t="shared" si="20"/>
        <v>1.2872771817183408</v>
      </c>
      <c r="Z72" s="997">
        <f t="shared" si="20"/>
        <v>1.2944669024759978</v>
      </c>
      <c r="AA72" s="997">
        <f t="shared" si="20"/>
        <v>1.302738805343191</v>
      </c>
      <c r="AB72" s="997">
        <f t="shared" si="20"/>
        <v>1.3108866912504191</v>
      </c>
      <c r="AC72" s="997">
        <f t="shared" si="20"/>
        <v>1.3195553140803278</v>
      </c>
      <c r="AD72" s="997">
        <f t="shared" si="20"/>
        <v>1.3282207310465552</v>
      </c>
      <c r="AE72" s="997">
        <f t="shared" si="20"/>
        <v>1.3369628459812153</v>
      </c>
      <c r="AF72" s="1000">
        <f t="shared" si="20"/>
        <v>1.3457665050354344</v>
      </c>
      <c r="AG72" s="996"/>
      <c r="AH72" s="996"/>
      <c r="AI72" s="996"/>
      <c r="AJ72" s="996"/>
      <c r="AK72" s="996"/>
      <c r="AL72" s="996"/>
      <c r="AM72" s="996"/>
      <c r="AN72" s="996"/>
      <c r="AO72" s="996"/>
    </row>
    <row r="73" spans="2:48" x14ac:dyDescent="0.25">
      <c r="B73" s="993"/>
      <c r="C73" s="993"/>
      <c r="D73" s="222"/>
      <c r="E73" s="222"/>
      <c r="F73" s="222"/>
      <c r="G73" s="222"/>
      <c r="H73" s="222"/>
      <c r="I73" s="222"/>
      <c r="J73" s="222"/>
      <c r="K73" s="222"/>
      <c r="L73" s="222"/>
      <c r="M73" s="222"/>
      <c r="N73" s="222"/>
      <c r="O73" s="222"/>
      <c r="P73" s="222"/>
      <c r="Q73" s="222"/>
      <c r="R73" s="222"/>
      <c r="S73" s="222"/>
      <c r="T73" s="222"/>
      <c r="U73" s="222"/>
      <c r="V73" s="222"/>
      <c r="W73" s="222"/>
      <c r="X73" s="222"/>
      <c r="Y73" s="222"/>
      <c r="Z73" s="35"/>
      <c r="AA73" s="35"/>
      <c r="AB73" s="35"/>
      <c r="AC73" s="35"/>
      <c r="AD73" s="35"/>
      <c r="AE73" s="35"/>
      <c r="AF73" s="35"/>
    </row>
    <row r="74" spans="2:48" x14ac:dyDescent="0.25">
      <c r="B74" s="993"/>
      <c r="C74" s="993"/>
      <c r="D74" s="222"/>
      <c r="E74" s="222"/>
      <c r="F74" s="222"/>
      <c r="G74" s="222"/>
      <c r="H74" s="222"/>
      <c r="I74" s="222"/>
      <c r="J74" s="222"/>
      <c r="K74" s="222"/>
      <c r="L74" s="222"/>
      <c r="M74" s="222"/>
      <c r="N74" s="222"/>
      <c r="O74" s="222"/>
      <c r="P74" s="222"/>
      <c r="Q74" s="222"/>
      <c r="R74" s="222"/>
      <c r="S74" s="222"/>
      <c r="T74" s="882"/>
      <c r="U74" s="882"/>
      <c r="V74" s="882"/>
      <c r="W74" s="882"/>
      <c r="X74" s="882"/>
      <c r="Y74" s="882"/>
      <c r="Z74" s="882"/>
      <c r="AA74" s="882"/>
      <c r="AB74" s="882"/>
      <c r="AC74" s="882"/>
      <c r="AD74" s="882"/>
      <c r="AE74" s="882"/>
      <c r="AF74" s="882"/>
    </row>
    <row r="76" spans="2:48" x14ac:dyDescent="0.25">
      <c r="C76" s="30"/>
      <c r="D76" s="980"/>
      <c r="E76" s="980"/>
      <c r="F76" s="980"/>
      <c r="G76" s="980"/>
    </row>
    <row r="80" spans="2:48" x14ac:dyDescent="0.25">
      <c r="C80" s="14"/>
      <c r="D80" s="75"/>
      <c r="E80" s="75"/>
      <c r="F80" s="75"/>
      <c r="G80" s="75"/>
      <c r="H80" s="75"/>
      <c r="I80" s="75"/>
      <c r="J80" s="75"/>
      <c r="K80" s="75"/>
      <c r="L80" s="75"/>
      <c r="M80" s="75"/>
    </row>
    <row r="81" spans="3:13" x14ac:dyDescent="0.25">
      <c r="C81" s="30"/>
      <c r="D81" s="983"/>
      <c r="E81" s="983"/>
      <c r="F81" s="983"/>
      <c r="G81" s="983"/>
      <c r="H81" s="983"/>
      <c r="I81" s="983"/>
      <c r="J81" s="983"/>
      <c r="K81" s="983"/>
      <c r="L81" s="983"/>
      <c r="M81" s="983"/>
    </row>
    <row r="82" spans="3:13" x14ac:dyDescent="0.25">
      <c r="C82" s="980"/>
      <c r="D82" s="983"/>
      <c r="E82" s="983"/>
      <c r="F82" s="983"/>
      <c r="G82" s="983"/>
      <c r="H82" s="983"/>
      <c r="I82" s="983"/>
      <c r="J82" s="983"/>
      <c r="K82" s="983"/>
      <c r="L82" s="983"/>
      <c r="M82" s="983"/>
    </row>
    <row r="83" spans="3:13" x14ac:dyDescent="0.25">
      <c r="C83" s="980"/>
      <c r="D83" s="983"/>
      <c r="E83" s="983"/>
      <c r="F83" s="983"/>
      <c r="G83" s="983"/>
      <c r="H83" s="983"/>
      <c r="I83" s="983"/>
      <c r="J83" s="983"/>
      <c r="K83" s="983"/>
      <c r="L83" s="983"/>
      <c r="M83" s="983"/>
    </row>
    <row r="84" spans="3:13" x14ac:dyDescent="0.25">
      <c r="C84" s="980"/>
      <c r="D84" s="983"/>
      <c r="E84" s="983"/>
      <c r="F84" s="983"/>
      <c r="G84" s="983"/>
      <c r="H84" s="983"/>
      <c r="I84" s="983"/>
      <c r="J84" s="983"/>
      <c r="K84" s="983"/>
      <c r="L84" s="983"/>
      <c r="M84" s="983"/>
    </row>
    <row r="85" spans="3:13" x14ac:dyDescent="0.25">
      <c r="C85" s="980"/>
      <c r="D85" s="983"/>
      <c r="E85" s="983"/>
      <c r="F85" s="983"/>
      <c r="G85" s="983"/>
      <c r="H85" s="983"/>
      <c r="I85" s="983"/>
      <c r="J85" s="983"/>
      <c r="K85" s="983"/>
      <c r="L85" s="983"/>
      <c r="M85" s="983"/>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61:AB61"/>
    <mergeCell ref="AC43:AF43"/>
    <mergeCell ref="Y9:AB9"/>
    <mergeCell ref="Y43:AB43"/>
    <mergeCell ref="B60:E60"/>
    <mergeCell ref="Q61:R61"/>
    <mergeCell ref="M9:P9"/>
    <mergeCell ref="Q9:R9"/>
    <mergeCell ref="E61:H61"/>
    <mergeCell ref="I61:L61"/>
    <mergeCell ref="M61:P61"/>
    <mergeCell ref="E9:H9"/>
    <mergeCell ref="I9:L9"/>
    <mergeCell ref="B22:AF22"/>
    <mergeCell ref="AC61:AF61"/>
    <mergeCell ref="W42:AG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31" zoomScale="61" zoomScaleNormal="143" workbookViewId="0">
      <selection activeCell="AB52" sqref="AB52"/>
    </sheetView>
  </sheetViews>
  <sheetFormatPr defaultColWidth="10.8554687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357" t="s">
        <v>316</v>
      </c>
      <c r="I1" s="1357"/>
      <c r="J1" s="1357"/>
      <c r="K1" s="1357"/>
      <c r="L1" s="1357"/>
      <c r="M1" s="1357"/>
      <c r="N1" s="1357"/>
      <c r="O1" s="1357"/>
      <c r="P1" s="1357"/>
      <c r="Q1" s="1357"/>
      <c r="R1" s="1357"/>
      <c r="S1" s="1357"/>
    </row>
    <row r="2" spans="8:22" x14ac:dyDescent="0.25">
      <c r="H2" s="1396" t="s">
        <v>317</v>
      </c>
      <c r="I2" s="1396"/>
      <c r="J2" s="1396"/>
      <c r="K2" s="1396"/>
      <c r="L2" s="1396"/>
      <c r="M2" s="1396"/>
      <c r="N2" s="1396"/>
      <c r="O2" s="1396"/>
      <c r="P2" s="1396"/>
      <c r="Q2" s="1396"/>
      <c r="R2" s="1396"/>
      <c r="S2" s="1396"/>
    </row>
    <row r="3" spans="8:22" x14ac:dyDescent="0.25">
      <c r="H3" s="1396"/>
      <c r="I3" s="1396"/>
      <c r="J3" s="1396"/>
      <c r="K3" s="1396"/>
      <c r="L3" s="1396"/>
      <c r="M3" s="1396"/>
      <c r="N3" s="1396"/>
      <c r="O3" s="1396"/>
      <c r="P3" s="1396"/>
      <c r="Q3" s="1396"/>
      <c r="R3" s="1396"/>
      <c r="S3" s="1396"/>
    </row>
    <row r="4" spans="8:22" x14ac:dyDescent="0.25">
      <c r="H4" s="1396"/>
      <c r="I4" s="1396"/>
      <c r="J4" s="1396"/>
      <c r="K4" s="1396"/>
      <c r="L4" s="1396"/>
      <c r="M4" s="1396"/>
      <c r="N4" s="1396"/>
      <c r="O4" s="1396"/>
      <c r="P4" s="1396"/>
      <c r="Q4" s="1396"/>
      <c r="R4" s="1396"/>
      <c r="S4" s="1396"/>
    </row>
    <row r="5" spans="8:22" ht="54.75" customHeight="1" x14ac:dyDescent="0.25">
      <c r="H5" s="1396"/>
      <c r="I5" s="1396"/>
      <c r="J5" s="1396"/>
      <c r="K5" s="1396"/>
      <c r="L5" s="1396"/>
      <c r="M5" s="1396"/>
      <c r="N5" s="1396"/>
      <c r="O5" s="1396"/>
      <c r="P5" s="1396"/>
      <c r="Q5" s="1396"/>
      <c r="R5" s="1396"/>
      <c r="S5" s="1396"/>
    </row>
    <row r="6" spans="8:22" x14ac:dyDescent="0.25">
      <c r="H6" s="464"/>
      <c r="I6" s="464"/>
      <c r="J6" s="464"/>
      <c r="K6" s="464"/>
      <c r="L6" s="464"/>
      <c r="M6" s="464"/>
      <c r="N6" s="464"/>
      <c r="O6" s="464"/>
      <c r="P6" s="464"/>
      <c r="Q6" s="464"/>
      <c r="R6" s="464"/>
      <c r="S6" s="464"/>
    </row>
    <row r="7" spans="8:22" x14ac:dyDescent="0.25">
      <c r="H7" s="1034" t="s">
        <v>318</v>
      </c>
    </row>
    <row r="8" spans="8:22" ht="16.350000000000001" customHeight="1" x14ac:dyDescent="0.25"/>
    <row r="9" spans="8:22" ht="15.75" customHeight="1" x14ac:dyDescent="0.25">
      <c r="L9" s="1371">
        <v>2020</v>
      </c>
      <c r="M9" s="1372"/>
      <c r="N9" s="1372"/>
      <c r="O9" s="556">
        <v>2021</v>
      </c>
      <c r="P9" s="556"/>
      <c r="Q9" s="556"/>
      <c r="R9" s="327"/>
    </row>
    <row r="10" spans="8:22" ht="41.85" customHeight="1" x14ac:dyDescent="0.25">
      <c r="H10" s="1029" t="s">
        <v>319</v>
      </c>
      <c r="I10" s="1029" t="s">
        <v>320</v>
      </c>
      <c r="J10" s="1030" t="s">
        <v>321</v>
      </c>
      <c r="K10" s="211"/>
      <c r="L10" s="1041" t="s">
        <v>284</v>
      </c>
      <c r="M10" s="1042" t="s">
        <v>238</v>
      </c>
      <c r="N10" s="1042" t="s">
        <v>282</v>
      </c>
      <c r="O10" s="1042" t="s">
        <v>283</v>
      </c>
      <c r="P10" s="1042" t="s">
        <v>284</v>
      </c>
      <c r="Q10" s="1042" t="s">
        <v>238</v>
      </c>
      <c r="R10" s="1028" t="s">
        <v>282</v>
      </c>
      <c r="S10" s="464" t="s">
        <v>322</v>
      </c>
      <c r="T10" s="211"/>
      <c r="U10" s="211"/>
      <c r="V10" s="211"/>
    </row>
    <row r="11" spans="8:22" x14ac:dyDescent="0.25">
      <c r="H11" s="1031">
        <v>43934</v>
      </c>
      <c r="I11" s="216">
        <v>248</v>
      </c>
      <c r="J11" s="568">
        <f>I11</f>
        <v>248</v>
      </c>
      <c r="K11" s="216"/>
      <c r="L11" s="886">
        <f>S11/26*J11</f>
        <v>95.384615384615387</v>
      </c>
      <c r="M11" s="872">
        <f>13/26*J11</f>
        <v>124</v>
      </c>
      <c r="N11" s="872">
        <f>J11-SUM(L11:M11)</f>
        <v>28.615384615384613</v>
      </c>
      <c r="O11" s="872"/>
      <c r="P11" s="872"/>
      <c r="Q11" s="872"/>
      <c r="R11" s="1039"/>
      <c r="S11" s="216">
        <v>10</v>
      </c>
      <c r="T11" s="216"/>
      <c r="U11" s="1036"/>
      <c r="V11" s="216"/>
    </row>
    <row r="12" spans="8:22" x14ac:dyDescent="0.25">
      <c r="H12" s="1037">
        <v>43937</v>
      </c>
      <c r="I12" s="216">
        <v>342</v>
      </c>
      <c r="J12" s="568">
        <f>I12-I11</f>
        <v>94</v>
      </c>
      <c r="K12" s="216"/>
      <c r="L12" s="886">
        <f t="shared" ref="L12:L20" si="0">S12/26*J12</f>
        <v>36.153846153846153</v>
      </c>
      <c r="M12" s="872">
        <f t="shared" ref="M12:M20" si="1">13/26*J12</f>
        <v>47</v>
      </c>
      <c r="N12" s="872">
        <f t="shared" ref="N12:N21" si="2">J12-SUM(L12:M12)</f>
        <v>10.84615384615384</v>
      </c>
      <c r="O12" s="872"/>
      <c r="P12" s="872"/>
      <c r="Q12" s="872"/>
      <c r="R12" s="1039"/>
      <c r="S12" s="216">
        <v>10</v>
      </c>
      <c r="T12" s="216"/>
      <c r="U12" s="216"/>
      <c r="V12" s="216"/>
    </row>
    <row r="13" spans="8:22" x14ac:dyDescent="0.25">
      <c r="H13" s="1037">
        <v>43952</v>
      </c>
      <c r="I13" s="216">
        <v>518</v>
      </c>
      <c r="J13" s="568">
        <f>I13-I12</f>
        <v>176</v>
      </c>
      <c r="K13" s="216"/>
      <c r="L13" s="886">
        <f t="shared" si="0"/>
        <v>54.15384615384616</v>
      </c>
      <c r="M13" s="872">
        <f t="shared" si="1"/>
        <v>88</v>
      </c>
      <c r="N13" s="872">
        <f t="shared" si="2"/>
        <v>33.84615384615384</v>
      </c>
      <c r="O13" s="872"/>
      <c r="P13" s="872"/>
      <c r="Q13" s="872"/>
      <c r="R13" s="1039"/>
      <c r="S13" s="216">
        <v>8</v>
      </c>
      <c r="T13" s="216"/>
      <c r="U13" s="216"/>
      <c r="V13" s="216"/>
    </row>
    <row r="14" spans="8:22" x14ac:dyDescent="0.25">
      <c r="H14" s="1037">
        <v>43959</v>
      </c>
      <c r="I14" s="216">
        <v>531</v>
      </c>
      <c r="J14" s="568">
        <f t="shared" ref="J14:J45" si="3">I14-I13</f>
        <v>13</v>
      </c>
      <c r="K14" s="216"/>
      <c r="L14" s="886">
        <f t="shared" si="0"/>
        <v>3.5</v>
      </c>
      <c r="M14" s="872">
        <f t="shared" si="1"/>
        <v>6.5</v>
      </c>
      <c r="N14" s="872">
        <f t="shared" si="2"/>
        <v>3</v>
      </c>
      <c r="O14" s="872"/>
      <c r="P14" s="872"/>
      <c r="Q14" s="872"/>
      <c r="R14" s="1039"/>
      <c r="S14" s="216">
        <f t="shared" ref="S14:S20" si="4">S13-1</f>
        <v>7</v>
      </c>
      <c r="T14" s="216"/>
      <c r="U14" s="216"/>
      <c r="V14" s="216"/>
    </row>
    <row r="15" spans="8:22" x14ac:dyDescent="0.25">
      <c r="H15" s="1037">
        <v>43967</v>
      </c>
      <c r="I15" s="216">
        <v>513</v>
      </c>
      <c r="J15" s="568">
        <f t="shared" si="3"/>
        <v>-18</v>
      </c>
      <c r="K15" s="216"/>
      <c r="L15" s="886">
        <f t="shared" ref="L15:L17" si="5">S15/26*J15</f>
        <v>-4.1538461538461542</v>
      </c>
      <c r="M15" s="872">
        <f t="shared" ref="M15:M17" si="6">13/26*J15</f>
        <v>-9</v>
      </c>
      <c r="N15" s="872">
        <f t="shared" ref="N15:N17" si="7">J15-SUM(L15:M15)</f>
        <v>-4.8461538461538467</v>
      </c>
      <c r="O15" s="872"/>
      <c r="P15" s="872"/>
      <c r="Q15" s="872"/>
      <c r="R15" s="1039"/>
      <c r="S15" s="216">
        <f t="shared" si="4"/>
        <v>6</v>
      </c>
      <c r="T15" s="216"/>
      <c r="U15" s="216"/>
      <c r="V15" s="216"/>
    </row>
    <row r="16" spans="8:22" x14ac:dyDescent="0.25">
      <c r="H16" s="1037">
        <v>43974</v>
      </c>
      <c r="I16" s="216">
        <v>511</v>
      </c>
      <c r="J16" s="568">
        <f t="shared" si="3"/>
        <v>-2</v>
      </c>
      <c r="K16" s="216"/>
      <c r="L16" s="886">
        <f t="shared" si="5"/>
        <v>-0.38461538461538464</v>
      </c>
      <c r="M16" s="872">
        <f t="shared" si="6"/>
        <v>-1</v>
      </c>
      <c r="N16" s="872">
        <f t="shared" si="7"/>
        <v>-0.61538461538461542</v>
      </c>
      <c r="O16" s="872"/>
      <c r="P16" s="872"/>
      <c r="Q16" s="872"/>
      <c r="R16" s="1039"/>
      <c r="S16" s="216">
        <f t="shared" si="4"/>
        <v>5</v>
      </c>
      <c r="T16" s="216"/>
      <c r="U16" s="216"/>
      <c r="V16" s="216"/>
    </row>
    <row r="17" spans="8:22" x14ac:dyDescent="0.25">
      <c r="H17" s="1037">
        <v>43981</v>
      </c>
      <c r="I17" s="216">
        <v>510</v>
      </c>
      <c r="J17" s="568">
        <f t="shared" si="3"/>
        <v>-1</v>
      </c>
      <c r="K17" s="216"/>
      <c r="L17" s="886">
        <f t="shared" si="5"/>
        <v>-0.15384615384615385</v>
      </c>
      <c r="M17" s="872">
        <f t="shared" si="6"/>
        <v>-0.5</v>
      </c>
      <c r="N17" s="872">
        <f t="shared" si="7"/>
        <v>-0.34615384615384615</v>
      </c>
      <c r="O17" s="872"/>
      <c r="P17" s="872"/>
      <c r="Q17" s="872"/>
      <c r="R17" s="1039"/>
      <c r="S17" s="216">
        <f t="shared" si="4"/>
        <v>4</v>
      </c>
      <c r="T17" s="216"/>
      <c r="U17" s="216"/>
      <c r="V17" s="216"/>
    </row>
    <row r="18" spans="8:22" x14ac:dyDescent="0.25">
      <c r="H18" s="1037">
        <v>43988</v>
      </c>
      <c r="I18" s="216">
        <v>511</v>
      </c>
      <c r="J18" s="568">
        <f t="shared" si="3"/>
        <v>1</v>
      </c>
      <c r="K18" s="216"/>
      <c r="L18" s="886">
        <f t="shared" si="0"/>
        <v>0.11538461538461539</v>
      </c>
      <c r="M18" s="872">
        <f t="shared" si="1"/>
        <v>0.5</v>
      </c>
      <c r="N18" s="872">
        <f t="shared" si="2"/>
        <v>0.38461538461538458</v>
      </c>
      <c r="O18" s="872"/>
      <c r="P18" s="872"/>
      <c r="Q18" s="872"/>
      <c r="R18" s="1039"/>
      <c r="S18" s="216">
        <f t="shared" si="4"/>
        <v>3</v>
      </c>
      <c r="T18" s="216"/>
      <c r="U18" s="216"/>
      <c r="V18" s="216"/>
    </row>
    <row r="19" spans="8:22" x14ac:dyDescent="0.25">
      <c r="H19" s="1037">
        <v>43994</v>
      </c>
      <c r="I19" s="216">
        <v>512</v>
      </c>
      <c r="J19" s="568">
        <f t="shared" si="3"/>
        <v>1</v>
      </c>
      <c r="K19" s="216"/>
      <c r="L19" s="886">
        <f t="shared" si="0"/>
        <v>7.6923076923076927E-2</v>
      </c>
      <c r="M19" s="872">
        <f t="shared" si="1"/>
        <v>0.5</v>
      </c>
      <c r="N19" s="872">
        <f t="shared" si="2"/>
        <v>0.42307692307692313</v>
      </c>
      <c r="O19" s="872"/>
      <c r="P19" s="872"/>
      <c r="Q19" s="872"/>
      <c r="R19" s="1039"/>
      <c r="S19" s="216">
        <f t="shared" si="4"/>
        <v>2</v>
      </c>
      <c r="T19" s="216"/>
      <c r="U19" s="216"/>
      <c r="V19" s="216"/>
    </row>
    <row r="20" spans="8:22" x14ac:dyDescent="0.25">
      <c r="H20" s="1037">
        <v>44002</v>
      </c>
      <c r="I20" s="216">
        <v>515</v>
      </c>
      <c r="J20" s="568">
        <f t="shared" si="3"/>
        <v>3</v>
      </c>
      <c r="K20" s="216"/>
      <c r="L20" s="886">
        <f t="shared" si="0"/>
        <v>0.11538461538461539</v>
      </c>
      <c r="M20" s="872">
        <f t="shared" si="1"/>
        <v>1.5</v>
      </c>
      <c r="N20" s="872">
        <f t="shared" si="2"/>
        <v>1.3846153846153846</v>
      </c>
      <c r="O20" s="872"/>
      <c r="P20" s="872"/>
      <c r="Q20" s="872"/>
      <c r="R20" s="1039"/>
      <c r="S20" s="216">
        <f t="shared" si="4"/>
        <v>1</v>
      </c>
      <c r="T20" s="216"/>
      <c r="U20" s="216"/>
      <c r="V20" s="216"/>
    </row>
    <row r="21" spans="8:22" x14ac:dyDescent="0.25">
      <c r="H21" s="1037">
        <v>44009</v>
      </c>
      <c r="I21" s="216">
        <v>519</v>
      </c>
      <c r="J21" s="568">
        <f t="shared" si="3"/>
        <v>4</v>
      </c>
      <c r="K21" s="216"/>
      <c r="L21" s="886"/>
      <c r="M21" s="872">
        <f>S21/26*J21</f>
        <v>2</v>
      </c>
      <c r="N21" s="872">
        <f t="shared" si="2"/>
        <v>2</v>
      </c>
      <c r="O21" s="872"/>
      <c r="P21" s="872"/>
      <c r="Q21" s="872"/>
      <c r="R21" s="1039"/>
      <c r="S21" s="216">
        <v>13</v>
      </c>
      <c r="T21" s="216"/>
      <c r="U21" s="216"/>
      <c r="V21" s="216"/>
    </row>
    <row r="22" spans="8:22" x14ac:dyDescent="0.25">
      <c r="H22" s="1037">
        <v>44012</v>
      </c>
      <c r="I22" s="216">
        <v>521</v>
      </c>
      <c r="J22" s="568">
        <f t="shared" si="3"/>
        <v>2</v>
      </c>
      <c r="K22" s="216"/>
      <c r="L22" s="886"/>
      <c r="M22" s="872">
        <f t="shared" ref="M22:M26" si="8">S22/26*J22</f>
        <v>1</v>
      </c>
      <c r="N22" s="872">
        <f>J22-SUM(L22:M22)</f>
        <v>1</v>
      </c>
      <c r="O22" s="872"/>
      <c r="P22" s="872"/>
      <c r="Q22" s="872"/>
      <c r="R22" s="1039"/>
      <c r="S22" s="216">
        <v>13</v>
      </c>
      <c r="T22" s="216"/>
      <c r="U22" s="216"/>
      <c r="V22" s="216"/>
    </row>
    <row r="23" spans="8:22" x14ac:dyDescent="0.25">
      <c r="H23" s="1037">
        <v>44029</v>
      </c>
      <c r="I23" s="216">
        <v>518</v>
      </c>
      <c r="J23" s="568">
        <f t="shared" si="3"/>
        <v>-3</v>
      </c>
      <c r="K23" s="216"/>
      <c r="L23" s="886"/>
      <c r="M23" s="872">
        <f t="shared" ref="M23" si="9">S23/26*J23</f>
        <v>-1.153846153846154</v>
      </c>
      <c r="N23" s="872">
        <f t="shared" ref="N23" si="10">13/26*J23</f>
        <v>-1.5</v>
      </c>
      <c r="O23" s="872">
        <f t="shared" ref="O23" si="11">J23-N23-M23</f>
        <v>-0.34615384615384603</v>
      </c>
      <c r="P23" s="872"/>
      <c r="Q23" s="872"/>
      <c r="R23" s="1039"/>
      <c r="S23" s="216">
        <f>S22-3</f>
        <v>10</v>
      </c>
      <c r="T23" s="216"/>
      <c r="U23" s="216"/>
      <c r="V23" s="216"/>
    </row>
    <row r="24" spans="8:22" x14ac:dyDescent="0.25">
      <c r="H24" s="1037">
        <v>44036</v>
      </c>
      <c r="I24" s="216">
        <v>520</v>
      </c>
      <c r="J24" s="568">
        <f t="shared" si="3"/>
        <v>2</v>
      </c>
      <c r="K24" s="216"/>
      <c r="L24" s="886"/>
      <c r="M24" s="872">
        <f t="shared" si="8"/>
        <v>0.69230769230769229</v>
      </c>
      <c r="N24" s="872">
        <f t="shared" ref="N24:N26" si="12">13/26*J24</f>
        <v>1</v>
      </c>
      <c r="O24" s="872">
        <f t="shared" ref="O24:O26" si="13">J24-N24-M24</f>
        <v>0.30769230769230771</v>
      </c>
      <c r="P24" s="872"/>
      <c r="Q24" s="872"/>
      <c r="R24" s="1039"/>
      <c r="S24" s="216">
        <f>S23-1</f>
        <v>9</v>
      </c>
      <c r="T24" s="216"/>
      <c r="U24" s="216"/>
      <c r="V24" s="216"/>
    </row>
    <row r="25" spans="8:22" x14ac:dyDescent="0.25">
      <c r="H25" s="1037">
        <v>44043</v>
      </c>
      <c r="I25" s="216">
        <v>521</v>
      </c>
      <c r="J25" s="568">
        <f t="shared" si="3"/>
        <v>1</v>
      </c>
      <c r="K25" s="216"/>
      <c r="L25" s="886"/>
      <c r="M25" s="872">
        <f t="shared" si="8"/>
        <v>0.30769230769230771</v>
      </c>
      <c r="N25" s="872">
        <f t="shared" si="12"/>
        <v>0.5</v>
      </c>
      <c r="O25" s="872">
        <f t="shared" si="13"/>
        <v>0.19230769230769229</v>
      </c>
      <c r="P25" s="872"/>
      <c r="Q25" s="872"/>
      <c r="R25" s="1039"/>
      <c r="S25" s="216">
        <f>S24-1</f>
        <v>8</v>
      </c>
      <c r="T25" s="216"/>
      <c r="U25" s="216"/>
      <c r="V25" s="216"/>
    </row>
    <row r="26" spans="8:22" x14ac:dyDescent="0.25">
      <c r="H26" s="1037">
        <v>44051</v>
      </c>
      <c r="I26" s="216">
        <v>525</v>
      </c>
      <c r="J26" s="568">
        <f t="shared" si="3"/>
        <v>4</v>
      </c>
      <c r="K26" s="216"/>
      <c r="L26" s="886"/>
      <c r="M26" s="872">
        <f t="shared" si="8"/>
        <v>1.0769230769230769</v>
      </c>
      <c r="N26" s="872">
        <f t="shared" si="12"/>
        <v>2</v>
      </c>
      <c r="O26" s="872">
        <f t="shared" si="13"/>
        <v>0.92307692307692313</v>
      </c>
      <c r="P26" s="872"/>
      <c r="Q26" s="872"/>
      <c r="R26" s="1039"/>
      <c r="S26" s="216">
        <f>S25-1</f>
        <v>7</v>
      </c>
      <c r="T26" s="216"/>
      <c r="U26" s="216"/>
      <c r="V26" s="216"/>
    </row>
    <row r="27" spans="8:22" x14ac:dyDescent="0.25">
      <c r="H27" s="1037">
        <v>44220</v>
      </c>
      <c r="I27" s="216">
        <v>558</v>
      </c>
      <c r="J27" s="568">
        <f t="shared" si="3"/>
        <v>33</v>
      </c>
      <c r="K27" s="216"/>
      <c r="L27" s="886"/>
      <c r="M27" s="872"/>
      <c r="N27" s="872"/>
      <c r="O27" s="872">
        <f>S27/26*J27</f>
        <v>12.692307692307693</v>
      </c>
      <c r="P27" s="872">
        <f>J27/2</f>
        <v>16.5</v>
      </c>
      <c r="Q27" s="872">
        <f>J27-P27-O27</f>
        <v>3.8076923076923066</v>
      </c>
      <c r="R27" s="1039"/>
      <c r="S27" s="216">
        <v>10</v>
      </c>
      <c r="T27" s="216">
        <v>10</v>
      </c>
      <c r="U27" s="216"/>
      <c r="V27" s="216"/>
    </row>
    <row r="28" spans="8:22" x14ac:dyDescent="0.25">
      <c r="H28" s="1037">
        <v>44227</v>
      </c>
      <c r="I28" s="216">
        <v>596</v>
      </c>
      <c r="J28" s="568">
        <f t="shared" si="3"/>
        <v>38</v>
      </c>
      <c r="K28" s="216"/>
      <c r="L28" s="886"/>
      <c r="M28" s="872"/>
      <c r="N28" s="872"/>
      <c r="O28" s="872">
        <f t="shared" ref="O28:O36" si="14">S28/26*J28</f>
        <v>13.153846153846153</v>
      </c>
      <c r="P28" s="872">
        <f t="shared" ref="P28:P36" si="15">J28/2</f>
        <v>19</v>
      </c>
      <c r="Q28" s="872">
        <f t="shared" ref="Q28:Q36" si="16">J28-P28-O28</f>
        <v>5.8461538461538467</v>
      </c>
      <c r="R28" s="1039"/>
      <c r="S28" s="216">
        <f>S27-1</f>
        <v>9</v>
      </c>
      <c r="T28" s="216">
        <f>T27-1</f>
        <v>9</v>
      </c>
      <c r="U28" s="216"/>
      <c r="V28" s="216"/>
    </row>
    <row r="29" spans="8:22" x14ac:dyDescent="0.25">
      <c r="H29" s="1037">
        <v>44234</v>
      </c>
      <c r="I29" s="216">
        <v>623</v>
      </c>
      <c r="J29" s="568">
        <f t="shared" si="3"/>
        <v>27</v>
      </c>
      <c r="K29" s="216"/>
      <c r="L29" s="886"/>
      <c r="M29" s="872"/>
      <c r="N29" s="872"/>
      <c r="O29" s="872">
        <f t="shared" si="14"/>
        <v>8.3076923076923084</v>
      </c>
      <c r="P29" s="872">
        <f t="shared" si="15"/>
        <v>13.5</v>
      </c>
      <c r="Q29" s="872">
        <f t="shared" si="16"/>
        <v>5.1923076923076916</v>
      </c>
      <c r="R29" s="1039"/>
      <c r="S29" s="216">
        <f t="shared" ref="S29:S36" si="17">S28-1</f>
        <v>8</v>
      </c>
      <c r="T29" s="216">
        <f t="shared" ref="T29:T36" si="18">T28-1</f>
        <v>8</v>
      </c>
      <c r="U29" s="216"/>
      <c r="V29" s="216"/>
    </row>
    <row r="30" spans="8:22" x14ac:dyDescent="0.25">
      <c r="H30" s="1037">
        <v>44242</v>
      </c>
      <c r="I30" s="216">
        <v>648</v>
      </c>
      <c r="J30" s="568">
        <f t="shared" si="3"/>
        <v>25</v>
      </c>
      <c r="K30" s="216"/>
      <c r="L30" s="886"/>
      <c r="M30" s="872"/>
      <c r="N30" s="872"/>
      <c r="O30" s="872">
        <f t="shared" si="14"/>
        <v>6.7307692307692308</v>
      </c>
      <c r="P30" s="872">
        <f t="shared" si="15"/>
        <v>12.5</v>
      </c>
      <c r="Q30" s="872">
        <f t="shared" si="16"/>
        <v>5.7692307692307692</v>
      </c>
      <c r="R30" s="1039"/>
      <c r="S30" s="216">
        <f t="shared" si="17"/>
        <v>7</v>
      </c>
      <c r="T30" s="216">
        <f t="shared" si="18"/>
        <v>7</v>
      </c>
      <c r="U30" s="216"/>
      <c r="V30" s="216"/>
    </row>
    <row r="31" spans="8:22" x14ac:dyDescent="0.25">
      <c r="H31" s="1037">
        <v>44248</v>
      </c>
      <c r="I31" s="216">
        <v>663</v>
      </c>
      <c r="J31" s="568">
        <f t="shared" si="3"/>
        <v>15</v>
      </c>
      <c r="K31" s="216"/>
      <c r="L31" s="886"/>
      <c r="M31" s="872"/>
      <c r="N31" s="872"/>
      <c r="O31" s="872">
        <f t="shared" si="14"/>
        <v>3.4615384615384617</v>
      </c>
      <c r="P31" s="872">
        <f t="shared" si="15"/>
        <v>7.5</v>
      </c>
      <c r="Q31" s="872">
        <f t="shared" si="16"/>
        <v>4.0384615384615383</v>
      </c>
      <c r="R31" s="1039"/>
      <c r="S31" s="216">
        <f t="shared" si="17"/>
        <v>6</v>
      </c>
      <c r="T31" s="216">
        <f t="shared" si="18"/>
        <v>6</v>
      </c>
      <c r="U31" s="216"/>
      <c r="V31" s="216"/>
    </row>
    <row r="32" spans="8:22" x14ac:dyDescent="0.25">
      <c r="H32" s="1037">
        <v>44255</v>
      </c>
      <c r="I32" s="216">
        <v>679</v>
      </c>
      <c r="J32" s="568">
        <f t="shared" si="3"/>
        <v>16</v>
      </c>
      <c r="K32" s="216"/>
      <c r="L32" s="886"/>
      <c r="M32" s="872"/>
      <c r="N32" s="872"/>
      <c r="O32" s="872">
        <f t="shared" si="14"/>
        <v>3.0769230769230771</v>
      </c>
      <c r="P32" s="872">
        <f t="shared" si="15"/>
        <v>8</v>
      </c>
      <c r="Q32" s="872">
        <f t="shared" si="16"/>
        <v>4.9230769230769234</v>
      </c>
      <c r="R32" s="1039"/>
      <c r="S32" s="216">
        <f t="shared" si="17"/>
        <v>5</v>
      </c>
      <c r="T32" s="216">
        <f t="shared" si="18"/>
        <v>5</v>
      </c>
      <c r="U32" s="216"/>
      <c r="V32" s="216"/>
    </row>
    <row r="33" spans="8:22" x14ac:dyDescent="0.25">
      <c r="H33" s="1037">
        <v>44262</v>
      </c>
      <c r="I33" s="216">
        <v>687</v>
      </c>
      <c r="J33" s="568">
        <f t="shared" si="3"/>
        <v>8</v>
      </c>
      <c r="K33" s="216"/>
      <c r="L33" s="886"/>
      <c r="M33" s="872"/>
      <c r="N33" s="872"/>
      <c r="O33" s="872">
        <f t="shared" si="14"/>
        <v>1.2307692307692308</v>
      </c>
      <c r="P33" s="872">
        <f t="shared" si="15"/>
        <v>4</v>
      </c>
      <c r="Q33" s="872">
        <f t="shared" si="16"/>
        <v>2.7692307692307692</v>
      </c>
      <c r="R33" s="1039"/>
      <c r="S33" s="216">
        <f t="shared" si="17"/>
        <v>4</v>
      </c>
      <c r="T33" s="216">
        <f t="shared" si="18"/>
        <v>4</v>
      </c>
      <c r="U33" s="216"/>
      <c r="V33" s="216"/>
    </row>
    <row r="34" spans="8:22" x14ac:dyDescent="0.25">
      <c r="H34" s="1037">
        <v>44269</v>
      </c>
      <c r="I34" s="216">
        <v>704</v>
      </c>
      <c r="J34" s="568">
        <f t="shared" si="3"/>
        <v>17</v>
      </c>
      <c r="K34" s="216"/>
      <c r="L34" s="886"/>
      <c r="M34" s="872"/>
      <c r="N34" s="872"/>
      <c r="O34" s="872">
        <f t="shared" si="14"/>
        <v>1.9615384615384617</v>
      </c>
      <c r="P34" s="872">
        <f t="shared" si="15"/>
        <v>8.5</v>
      </c>
      <c r="Q34" s="872">
        <f t="shared" si="16"/>
        <v>6.5384615384615383</v>
      </c>
      <c r="R34" s="1039"/>
      <c r="S34" s="216">
        <f t="shared" si="17"/>
        <v>3</v>
      </c>
      <c r="T34" s="216">
        <f t="shared" si="18"/>
        <v>3</v>
      </c>
      <c r="U34" s="216"/>
      <c r="V34" s="216"/>
    </row>
    <row r="35" spans="8:22" x14ac:dyDescent="0.25">
      <c r="H35" s="1037">
        <v>44276</v>
      </c>
      <c r="I35" s="216">
        <v>718</v>
      </c>
      <c r="J35" s="568">
        <f t="shared" si="3"/>
        <v>14</v>
      </c>
      <c r="K35" s="216"/>
      <c r="L35" s="886"/>
      <c r="M35" s="872"/>
      <c r="N35" s="872"/>
      <c r="O35" s="872">
        <f t="shared" si="14"/>
        <v>1.0769230769230771</v>
      </c>
      <c r="P35" s="872">
        <f t="shared" si="15"/>
        <v>7</v>
      </c>
      <c r="Q35" s="872">
        <f t="shared" si="16"/>
        <v>5.9230769230769234</v>
      </c>
      <c r="R35" s="1039"/>
      <c r="S35" s="216">
        <f t="shared" si="17"/>
        <v>2</v>
      </c>
      <c r="T35" s="216">
        <f t="shared" si="18"/>
        <v>2</v>
      </c>
      <c r="U35" s="216"/>
      <c r="V35" s="216"/>
    </row>
    <row r="36" spans="8:22" x14ac:dyDescent="0.25">
      <c r="H36" s="1037">
        <v>44283</v>
      </c>
      <c r="I36" s="216">
        <v>734</v>
      </c>
      <c r="J36" s="568">
        <f t="shared" si="3"/>
        <v>16</v>
      </c>
      <c r="K36" s="216"/>
      <c r="L36" s="886"/>
      <c r="M36" s="872"/>
      <c r="N36" s="872"/>
      <c r="O36" s="872">
        <f t="shared" si="14"/>
        <v>0.61538461538461542</v>
      </c>
      <c r="P36" s="872">
        <f t="shared" si="15"/>
        <v>8</v>
      </c>
      <c r="Q36" s="872">
        <f t="shared" si="16"/>
        <v>7.384615384615385</v>
      </c>
      <c r="R36" s="1039"/>
      <c r="S36" s="216">
        <f t="shared" si="17"/>
        <v>1</v>
      </c>
      <c r="T36" s="216">
        <f t="shared" si="18"/>
        <v>1</v>
      </c>
      <c r="U36" s="216"/>
      <c r="V36" s="216"/>
    </row>
    <row r="37" spans="8:22" x14ac:dyDescent="0.25">
      <c r="H37" s="1037">
        <v>44290</v>
      </c>
      <c r="I37" s="216">
        <v>746</v>
      </c>
      <c r="J37" s="568">
        <f t="shared" si="3"/>
        <v>12</v>
      </c>
      <c r="K37" s="216"/>
      <c r="L37" s="886"/>
      <c r="M37" s="872"/>
      <c r="N37" s="872"/>
      <c r="O37" s="872"/>
      <c r="P37" s="872">
        <f>T37/26*J37</f>
        <v>6</v>
      </c>
      <c r="Q37" s="872">
        <f>J37/2</f>
        <v>6</v>
      </c>
      <c r="R37" s="1039">
        <f>J37-Q37-P37</f>
        <v>0</v>
      </c>
      <c r="S37" s="216">
        <v>13</v>
      </c>
      <c r="T37" s="216">
        <v>13</v>
      </c>
      <c r="U37" s="216"/>
      <c r="V37" s="216"/>
    </row>
    <row r="38" spans="8:22" x14ac:dyDescent="0.25">
      <c r="H38" s="1037">
        <v>44297</v>
      </c>
      <c r="I38" s="216">
        <v>755</v>
      </c>
      <c r="J38" s="568">
        <f t="shared" si="3"/>
        <v>9</v>
      </c>
      <c r="K38" s="216"/>
      <c r="L38" s="886"/>
      <c r="M38" s="872"/>
      <c r="N38" s="872"/>
      <c r="O38" s="872"/>
      <c r="P38" s="872">
        <f t="shared" ref="P38:P45" si="19">T38/26*J38</f>
        <v>4.1538461538461542</v>
      </c>
      <c r="Q38" s="872">
        <f t="shared" ref="Q38:Q45" si="20">J38/2</f>
        <v>4.5</v>
      </c>
      <c r="R38" s="1039">
        <f t="shared" ref="R38:R45" si="21">J38-Q38-P38</f>
        <v>0.34615384615384581</v>
      </c>
      <c r="S38" s="216">
        <f>S37-1</f>
        <v>12</v>
      </c>
      <c r="T38" s="216">
        <f>T37-1</f>
        <v>12</v>
      </c>
      <c r="U38" s="216"/>
      <c r="V38" s="216"/>
    </row>
    <row r="39" spans="8:22" x14ac:dyDescent="0.25">
      <c r="H39" s="1037">
        <v>44304</v>
      </c>
      <c r="I39" s="216">
        <v>762</v>
      </c>
      <c r="J39" s="568">
        <f t="shared" si="3"/>
        <v>7</v>
      </c>
      <c r="K39" s="216"/>
      <c r="L39" s="886"/>
      <c r="M39" s="872"/>
      <c r="N39" s="872"/>
      <c r="O39" s="872"/>
      <c r="P39" s="872">
        <f t="shared" si="19"/>
        <v>2.9615384615384617</v>
      </c>
      <c r="Q39" s="872">
        <f t="shared" si="20"/>
        <v>3.5</v>
      </c>
      <c r="R39" s="1039">
        <f t="shared" si="21"/>
        <v>0.53846153846153832</v>
      </c>
      <c r="S39" s="216">
        <f t="shared" ref="S39:S45" si="22">S38-1</f>
        <v>11</v>
      </c>
      <c r="T39" s="216">
        <f t="shared" ref="T39:T45" si="23">T38-1</f>
        <v>11</v>
      </c>
      <c r="U39" s="216"/>
      <c r="V39" s="216"/>
    </row>
    <row r="40" spans="8:22" x14ac:dyDescent="0.25">
      <c r="H40" s="1037">
        <v>44311</v>
      </c>
      <c r="I40" s="216">
        <v>771</v>
      </c>
      <c r="J40" s="568">
        <f t="shared" si="3"/>
        <v>9</v>
      </c>
      <c r="K40" s="216"/>
      <c r="L40" s="886"/>
      <c r="M40" s="872"/>
      <c r="N40" s="872"/>
      <c r="O40" s="872"/>
      <c r="P40" s="872">
        <f t="shared" si="19"/>
        <v>3.4615384615384617</v>
      </c>
      <c r="Q40" s="872">
        <f t="shared" si="20"/>
        <v>4.5</v>
      </c>
      <c r="R40" s="1039">
        <f t="shared" si="21"/>
        <v>1.0384615384615383</v>
      </c>
      <c r="S40" s="216">
        <f t="shared" si="22"/>
        <v>10</v>
      </c>
      <c r="T40" s="216">
        <f t="shared" si="23"/>
        <v>10</v>
      </c>
      <c r="U40" s="216"/>
      <c r="V40" s="216"/>
    </row>
    <row r="41" spans="8:22" x14ac:dyDescent="0.25">
      <c r="H41" s="1037">
        <v>44318</v>
      </c>
      <c r="I41" s="216">
        <v>780</v>
      </c>
      <c r="J41" s="568">
        <f t="shared" si="3"/>
        <v>9</v>
      </c>
      <c r="K41" s="216"/>
      <c r="L41" s="886"/>
      <c r="M41" s="872"/>
      <c r="N41" s="872"/>
      <c r="O41" s="872"/>
      <c r="P41" s="872">
        <f t="shared" si="19"/>
        <v>3.1153846153846154</v>
      </c>
      <c r="Q41" s="872">
        <f t="shared" si="20"/>
        <v>4.5</v>
      </c>
      <c r="R41" s="1039">
        <f t="shared" si="21"/>
        <v>1.3846153846153846</v>
      </c>
      <c r="S41" s="216">
        <f t="shared" si="22"/>
        <v>9</v>
      </c>
      <c r="T41" s="216">
        <f t="shared" si="23"/>
        <v>9</v>
      </c>
      <c r="U41" s="216"/>
      <c r="V41" s="216"/>
    </row>
    <row r="42" spans="8:22" x14ac:dyDescent="0.25">
      <c r="H42" s="1037">
        <v>44325</v>
      </c>
      <c r="I42" s="216">
        <v>782</v>
      </c>
      <c r="J42" s="568">
        <f t="shared" si="3"/>
        <v>2</v>
      </c>
      <c r="K42" s="216"/>
      <c r="L42" s="886"/>
      <c r="M42" s="872"/>
      <c r="N42" s="872"/>
      <c r="O42" s="872"/>
      <c r="P42" s="872">
        <f t="shared" si="19"/>
        <v>0.61538461538461542</v>
      </c>
      <c r="Q42" s="872">
        <f t="shared" si="20"/>
        <v>1</v>
      </c>
      <c r="R42" s="1039">
        <f t="shared" si="21"/>
        <v>0.38461538461538458</v>
      </c>
      <c r="S42" s="216">
        <f t="shared" si="22"/>
        <v>8</v>
      </c>
      <c r="T42" s="216">
        <f t="shared" si="23"/>
        <v>8</v>
      </c>
      <c r="U42" s="216"/>
      <c r="V42" s="216"/>
    </row>
    <row r="43" spans="8:22" x14ac:dyDescent="0.25">
      <c r="H43" s="1037">
        <v>44332</v>
      </c>
      <c r="I43" s="216">
        <v>788</v>
      </c>
      <c r="J43" s="568">
        <f t="shared" si="3"/>
        <v>6</v>
      </c>
      <c r="K43" s="216"/>
      <c r="L43" s="886"/>
      <c r="M43" s="872"/>
      <c r="N43" s="872"/>
      <c r="O43" s="872"/>
      <c r="P43" s="872">
        <f t="shared" si="19"/>
        <v>1.6153846153846154</v>
      </c>
      <c r="Q43" s="872">
        <f t="shared" si="20"/>
        <v>3</v>
      </c>
      <c r="R43" s="1039">
        <f t="shared" si="21"/>
        <v>1.3846153846153846</v>
      </c>
      <c r="S43" s="216">
        <f t="shared" si="22"/>
        <v>7</v>
      </c>
      <c r="T43" s="216">
        <f t="shared" si="23"/>
        <v>7</v>
      </c>
      <c r="U43" s="216"/>
      <c r="V43" s="216"/>
    </row>
    <row r="44" spans="8:22" x14ac:dyDescent="0.25">
      <c r="H44" s="1037">
        <v>44339</v>
      </c>
      <c r="I44" s="216">
        <v>796</v>
      </c>
      <c r="J44" s="568">
        <f t="shared" si="3"/>
        <v>8</v>
      </c>
      <c r="K44" s="216"/>
      <c r="L44" s="886"/>
      <c r="M44" s="872"/>
      <c r="N44" s="872"/>
      <c r="O44" s="872"/>
      <c r="P44" s="872">
        <f t="shared" si="19"/>
        <v>1.8461538461538463</v>
      </c>
      <c r="Q44" s="872">
        <f t="shared" si="20"/>
        <v>4</v>
      </c>
      <c r="R44" s="1039">
        <f t="shared" si="21"/>
        <v>2.1538461538461537</v>
      </c>
      <c r="S44" s="216">
        <f t="shared" si="22"/>
        <v>6</v>
      </c>
      <c r="T44" s="216">
        <f t="shared" si="23"/>
        <v>6</v>
      </c>
      <c r="U44" s="216"/>
      <c r="V44" s="216"/>
    </row>
    <row r="45" spans="8:22" x14ac:dyDescent="0.25">
      <c r="H45" s="1038">
        <v>44347</v>
      </c>
      <c r="I45" s="562">
        <v>800</v>
      </c>
      <c r="J45" s="569">
        <f t="shared" si="3"/>
        <v>4</v>
      </c>
      <c r="K45" s="216"/>
      <c r="L45" s="886"/>
      <c r="M45" s="872"/>
      <c r="N45" s="872"/>
      <c r="O45" s="872"/>
      <c r="P45" s="872">
        <f t="shared" si="19"/>
        <v>0.76923076923076927</v>
      </c>
      <c r="Q45" s="872">
        <f t="shared" si="20"/>
        <v>2</v>
      </c>
      <c r="R45" s="1039">
        <f t="shared" si="21"/>
        <v>1.2307692307692308</v>
      </c>
      <c r="S45" s="216">
        <f t="shared" si="22"/>
        <v>5</v>
      </c>
      <c r="T45" s="216">
        <f t="shared" si="23"/>
        <v>5</v>
      </c>
      <c r="U45" s="216"/>
      <c r="V45" s="216"/>
    </row>
    <row r="46" spans="8:22" x14ac:dyDescent="0.25">
      <c r="H46" s="216"/>
      <c r="I46" s="216"/>
      <c r="J46" s="216"/>
      <c r="K46" s="216"/>
      <c r="L46" s="886">
        <f>SUM(L11:L45)</f>
        <v>184.80769230769229</v>
      </c>
      <c r="M46" s="872">
        <f t="shared" ref="M46:R46" si="24">SUM(M11:M45)</f>
        <v>261.42307692307696</v>
      </c>
      <c r="N46" s="872">
        <f t="shared" si="24"/>
        <v>77.692307692307693</v>
      </c>
      <c r="O46" s="872">
        <f t="shared" si="24"/>
        <v>53.384615384615394</v>
      </c>
      <c r="P46" s="872">
        <f t="shared" si="24"/>
        <v>129.03846153846155</v>
      </c>
      <c r="Q46" s="872">
        <f t="shared" si="24"/>
        <v>85.192307692307693</v>
      </c>
      <c r="R46" s="1039">
        <f t="shared" si="24"/>
        <v>8.4615384615384599</v>
      </c>
      <c r="S46" s="216"/>
      <c r="T46" s="216"/>
      <c r="U46" s="216"/>
      <c r="V46" s="216"/>
    </row>
    <row r="47" spans="8:22" x14ac:dyDescent="0.25">
      <c r="H47" s="216"/>
      <c r="I47" s="216"/>
      <c r="J47" s="216"/>
      <c r="K47" s="216"/>
      <c r="L47" s="887">
        <f>L46*4</f>
        <v>739.23076923076917</v>
      </c>
      <c r="M47" s="888">
        <f t="shared" ref="M47:R47" si="25">M46*4</f>
        <v>1045.6923076923078</v>
      </c>
      <c r="N47" s="888">
        <f t="shared" si="25"/>
        <v>310.76923076923077</v>
      </c>
      <c r="O47" s="888">
        <f t="shared" si="25"/>
        <v>213.53846153846158</v>
      </c>
      <c r="P47" s="888">
        <f t="shared" si="25"/>
        <v>516.15384615384619</v>
      </c>
      <c r="Q47" s="888">
        <f t="shared" si="25"/>
        <v>340.76923076923077</v>
      </c>
      <c r="R47" s="1040">
        <f t="shared" si="25"/>
        <v>33.84615384615384</v>
      </c>
      <c r="S47" s="216" t="s">
        <v>323</v>
      </c>
      <c r="T47" s="216"/>
      <c r="U47" s="216"/>
      <c r="V47" s="216"/>
    </row>
    <row r="48" spans="8:22" x14ac:dyDescent="0.25">
      <c r="J48" s="222" t="s">
        <v>324</v>
      </c>
      <c r="L48" s="222">
        <v>634</v>
      </c>
      <c r="M48" s="722">
        <f>K55</f>
        <v>900.7</v>
      </c>
      <c r="N48" s="722">
        <f t="shared" ref="N48:P48" si="26">L55</f>
        <v>270.7</v>
      </c>
      <c r="O48" s="722">
        <f t="shared" si="26"/>
        <v>208.7</v>
      </c>
      <c r="P48" s="722">
        <f t="shared" si="26"/>
        <v>469.7</v>
      </c>
      <c r="Q48" s="722">
        <v>279</v>
      </c>
      <c r="R48" s="722"/>
    </row>
    <row r="50" spans="8:29" x14ac:dyDescent="0.25">
      <c r="H50" s="1456" t="s">
        <v>325</v>
      </c>
      <c r="I50" s="1457"/>
      <c r="J50" s="1427" t="s">
        <v>280</v>
      </c>
      <c r="K50" s="1428"/>
      <c r="L50" s="1428"/>
      <c r="M50" s="1411"/>
      <c r="N50" s="1411"/>
      <c r="O50" s="1411"/>
      <c r="P50" s="1363"/>
      <c r="Q50" s="509"/>
      <c r="R50" s="509"/>
      <c r="S50" s="509"/>
      <c r="T50" s="509"/>
      <c r="U50" s="509"/>
      <c r="V50" s="509"/>
      <c r="W50" s="509"/>
      <c r="X50" s="509"/>
      <c r="Y50" s="509"/>
    </row>
    <row r="51" spans="8:29" x14ac:dyDescent="0.25">
      <c r="H51" s="1458"/>
      <c r="I51" s="1459"/>
      <c r="J51" s="1371">
        <v>2020</v>
      </c>
      <c r="K51" s="1372"/>
      <c r="L51" s="1372"/>
      <c r="M51" s="1371">
        <v>2021</v>
      </c>
      <c r="N51" s="1372"/>
      <c r="O51" s="1372"/>
      <c r="P51" s="1373"/>
      <c r="Q51" s="1402"/>
      <c r="R51" s="1402"/>
      <c r="S51" s="1402"/>
      <c r="T51" s="1402"/>
      <c r="U51" s="1402"/>
      <c r="V51" s="1402"/>
      <c r="W51" s="1402"/>
      <c r="X51" s="1402"/>
    </row>
    <row r="52" spans="8:29" x14ac:dyDescent="0.25">
      <c r="H52" s="1465"/>
      <c r="I52" s="1466"/>
      <c r="J52" s="195" t="s">
        <v>284</v>
      </c>
      <c r="K52" s="196" t="s">
        <v>238</v>
      </c>
      <c r="L52" s="196" t="s">
        <v>282</v>
      </c>
      <c r="M52" s="267" t="s">
        <v>283</v>
      </c>
      <c r="N52" s="268" t="s">
        <v>284</v>
      </c>
      <c r="O52" s="268" t="s">
        <v>238</v>
      </c>
      <c r="P52" s="266" t="s">
        <v>282</v>
      </c>
      <c r="Q52" s="216"/>
      <c r="S52" s="222"/>
      <c r="T52" s="222"/>
      <c r="U52" s="216"/>
      <c r="V52" s="222"/>
      <c r="W52" s="222"/>
      <c r="X52" s="222"/>
      <c r="Y52" s="222"/>
      <c r="Z52" s="222"/>
      <c r="AA52" s="222"/>
    </row>
    <row r="53" spans="8:29" ht="32.85" customHeight="1" x14ac:dyDescent="0.25">
      <c r="H53" s="473" t="s">
        <v>326</v>
      </c>
      <c r="I53" s="216" t="s">
        <v>327</v>
      </c>
      <c r="J53" s="1032">
        <f>'Haver Pivoted'!GU47</f>
        <v>57.2</v>
      </c>
      <c r="K53" s="440">
        <f>'Haver Pivoted'!GV47</f>
        <v>81.2</v>
      </c>
      <c r="L53" s="440">
        <f>'Haver Pivoted'!GW47</f>
        <v>24.4</v>
      </c>
      <c r="M53" s="212">
        <f>'Haver Pivoted'!GX47</f>
        <v>11.7</v>
      </c>
      <c r="N53" s="212">
        <f>'Haver Pivoted'!GY47</f>
        <v>28.5</v>
      </c>
      <c r="O53" s="351">
        <f>'Haver Pivoted'!GZ47</f>
        <v>18.8</v>
      </c>
      <c r="P53" s="351">
        <f>'Haver Pivoted'!HA47</f>
        <v>1.6</v>
      </c>
      <c r="Q53" s="212"/>
      <c r="S53" s="222"/>
      <c r="T53" s="222"/>
      <c r="U53" s="222"/>
      <c r="V53" s="222"/>
      <c r="W53" s="222"/>
      <c r="X53" s="222"/>
      <c r="Y53" s="222"/>
      <c r="Z53" s="222"/>
      <c r="AA53" s="222"/>
    </row>
    <row r="54" spans="8:29" ht="33.75" customHeight="1" x14ac:dyDescent="0.25">
      <c r="H54" s="473" t="s">
        <v>328</v>
      </c>
      <c r="I54" s="207" t="s">
        <v>329</v>
      </c>
      <c r="J54" s="862">
        <f>'Haver Pivoted'!GU49</f>
        <v>576.9</v>
      </c>
      <c r="K54" s="212">
        <f>'Haver Pivoted'!GV49</f>
        <v>819.5</v>
      </c>
      <c r="L54" s="212">
        <f>'Haver Pivoted'!GW49</f>
        <v>246.3</v>
      </c>
      <c r="M54" s="212">
        <f>'Haver Pivoted'!GX49</f>
        <v>197</v>
      </c>
      <c r="N54" s="212">
        <f>'Haver Pivoted'!GY49</f>
        <v>441.2</v>
      </c>
      <c r="O54" s="351">
        <f>'Haver Pivoted'!GZ49</f>
        <v>276.7</v>
      </c>
      <c r="P54" s="351">
        <f>'Haver Pivoted'!HA49</f>
        <v>28.2</v>
      </c>
      <c r="Q54" s="212"/>
      <c r="R54" s="212"/>
    </row>
    <row r="55" spans="8:29" x14ac:dyDescent="0.25">
      <c r="H55" s="547" t="s">
        <v>312</v>
      </c>
      <c r="I55" s="216"/>
      <c r="J55" s="862">
        <f>J54+J53</f>
        <v>634.1</v>
      </c>
      <c r="K55" s="212">
        <f t="shared" ref="K55:M55" si="27">K54+K53</f>
        <v>900.7</v>
      </c>
      <c r="L55" s="212">
        <f t="shared" si="27"/>
        <v>270.7</v>
      </c>
      <c r="M55" s="212">
        <f t="shared" si="27"/>
        <v>208.7</v>
      </c>
      <c r="N55" s="212">
        <f t="shared" ref="N55:P55" si="28">N54+N53</f>
        <v>469.7</v>
      </c>
      <c r="O55" s="351">
        <f t="shared" si="28"/>
        <v>295.5</v>
      </c>
      <c r="P55" s="351">
        <f t="shared" si="28"/>
        <v>29.8</v>
      </c>
      <c r="Q55" s="212"/>
      <c r="R55" s="212"/>
    </row>
    <row r="56" spans="8:29" x14ac:dyDescent="0.25">
      <c r="H56" s="344" t="s">
        <v>330</v>
      </c>
      <c r="I56" s="562"/>
      <c r="J56" s="889">
        <f t="shared" ref="J56:P56" si="29">J53/J55</f>
        <v>9.0206592020186091E-2</v>
      </c>
      <c r="K56" s="890">
        <f t="shared" si="29"/>
        <v>9.015210391917397E-2</v>
      </c>
      <c r="L56" s="890">
        <f t="shared" si="29"/>
        <v>9.0136682674547469E-2</v>
      </c>
      <c r="M56" s="890">
        <f t="shared" si="29"/>
        <v>5.6061332055582176E-2</v>
      </c>
      <c r="N56" s="890">
        <f t="shared" si="29"/>
        <v>6.0677027890142649E-2</v>
      </c>
      <c r="O56" s="891">
        <f t="shared" si="29"/>
        <v>6.3620981387478848E-2</v>
      </c>
      <c r="P56" s="891">
        <f t="shared" si="29"/>
        <v>5.3691275167785234E-2</v>
      </c>
      <c r="Q56" s="1035"/>
      <c r="R56" s="946"/>
    </row>
    <row r="58" spans="8:29" x14ac:dyDescent="0.25">
      <c r="H58" s="222" t="s">
        <v>820</v>
      </c>
    </row>
    <row r="59" spans="8:29" x14ac:dyDescent="0.25">
      <c r="H59" s="265"/>
      <c r="I59" s="216"/>
      <c r="J59" s="212"/>
      <c r="K59" s="212"/>
      <c r="L59" s="212"/>
      <c r="M59" s="212"/>
      <c r="N59" s="212"/>
      <c r="O59" s="212"/>
      <c r="P59" s="494"/>
      <c r="Q59" s="212"/>
      <c r="R59" s="212"/>
      <c r="S59" s="212"/>
      <c r="T59" s="222"/>
      <c r="U59" s="222"/>
      <c r="V59" s="222"/>
      <c r="W59" s="222"/>
      <c r="X59" s="222"/>
      <c r="Y59" s="222"/>
      <c r="Z59" s="222"/>
      <c r="AA59" s="222"/>
      <c r="AB59" s="222"/>
      <c r="AC59" s="222"/>
    </row>
    <row r="60" spans="8:29" x14ac:dyDescent="0.25">
      <c r="P60" s="212"/>
      <c r="Q60" s="222"/>
      <c r="R60" s="222"/>
      <c r="S60" s="222"/>
      <c r="T60" s="222"/>
      <c r="U60" s="222"/>
      <c r="V60" s="222"/>
      <c r="W60" s="222"/>
      <c r="X60" s="222"/>
      <c r="Y60" s="222"/>
      <c r="Z60" s="222"/>
      <c r="AA60" s="222"/>
      <c r="AB60" s="222"/>
      <c r="AC60" s="222"/>
    </row>
    <row r="61" spans="8:29" x14ac:dyDescent="0.25">
      <c r="P61" s="212"/>
      <c r="Q61" s="1033"/>
      <c r="R61" s="1033"/>
      <c r="S61" s="1033"/>
      <c r="T61" s="1033"/>
      <c r="U61" s="1033"/>
      <c r="V61" s="1033"/>
      <c r="W61" s="1033"/>
      <c r="X61" s="1033"/>
      <c r="Y61" s="1033"/>
      <c r="Z61" s="1033"/>
      <c r="AA61" s="1033"/>
      <c r="AB61" s="1033"/>
      <c r="AC61" s="222"/>
    </row>
    <row r="62" spans="8:29" x14ac:dyDescent="0.25">
      <c r="P62" s="212"/>
      <c r="Q62" s="1033"/>
      <c r="R62" s="1033"/>
      <c r="S62" s="1033"/>
      <c r="T62" s="1033"/>
      <c r="U62" s="1033"/>
      <c r="V62" s="1033"/>
      <c r="W62" s="1033"/>
      <c r="X62" s="1033"/>
      <c r="Y62" s="1033"/>
      <c r="Z62" s="1033"/>
      <c r="AA62" s="1033"/>
      <c r="AB62" s="1033"/>
      <c r="AC62" s="222"/>
    </row>
    <row r="63" spans="8:29" x14ac:dyDescent="0.25">
      <c r="I63" s="222" t="s">
        <v>283</v>
      </c>
      <c r="J63" s="222" t="s">
        <v>284</v>
      </c>
      <c r="K63" s="222" t="s">
        <v>238</v>
      </c>
      <c r="L63" s="222" t="s">
        <v>282</v>
      </c>
      <c r="P63" s="946"/>
      <c r="Q63" s="1033"/>
      <c r="R63" s="1033"/>
      <c r="S63" s="1033"/>
      <c r="T63" s="1033"/>
      <c r="U63" s="1033"/>
      <c r="V63" s="1033"/>
      <c r="W63" s="1033"/>
      <c r="X63" s="1033"/>
      <c r="Y63" s="1033"/>
      <c r="Z63" s="1033"/>
      <c r="AA63" s="1033"/>
      <c r="AB63" s="1033"/>
      <c r="AC63" s="222"/>
    </row>
    <row r="64" spans="8:29" x14ac:dyDescent="0.25">
      <c r="H64" s="222" t="s">
        <v>821</v>
      </c>
      <c r="I64" s="222">
        <v>81.599999999999994</v>
      </c>
      <c r="J64" s="222">
        <v>188.9</v>
      </c>
      <c r="K64" s="222">
        <v>117.2</v>
      </c>
      <c r="L64" s="222" t="e">
        <f>#REF!+#REF!</f>
        <v>#REF!</v>
      </c>
      <c r="P64" s="222"/>
      <c r="Q64" s="222"/>
      <c r="R64" s="222"/>
      <c r="S64" s="222"/>
      <c r="T64" s="222"/>
      <c r="U64" s="222"/>
      <c r="V64" s="222"/>
      <c r="W64" s="222"/>
      <c r="X64" s="222"/>
      <c r="Y64" s="222"/>
      <c r="Z64" s="222"/>
      <c r="AA64" s="222"/>
      <c r="AB64" s="222"/>
      <c r="AC64" s="222"/>
    </row>
    <row r="65" spans="7:29" x14ac:dyDescent="0.25">
      <c r="H65" s="222" t="s">
        <v>470</v>
      </c>
      <c r="I65" s="722">
        <f>M53</f>
        <v>11.7</v>
      </c>
      <c r="J65" s="722">
        <f t="shared" ref="J65:K65" si="30">N53</f>
        <v>28.5</v>
      </c>
      <c r="K65" s="722">
        <f t="shared" si="30"/>
        <v>18.8</v>
      </c>
      <c r="L65" s="222" t="e">
        <f>#REF!</f>
        <v>#REF!</v>
      </c>
      <c r="P65" s="222"/>
      <c r="Q65" s="222"/>
      <c r="R65" s="222"/>
      <c r="S65" s="222"/>
      <c r="T65" s="222"/>
      <c r="U65" s="222"/>
      <c r="V65" s="222"/>
      <c r="W65" s="222"/>
      <c r="X65" s="222"/>
      <c r="Y65" s="222"/>
      <c r="Z65" s="222"/>
      <c r="AA65" s="222"/>
      <c r="AB65" s="222"/>
      <c r="AC65" s="222"/>
    </row>
    <row r="66" spans="7:29" x14ac:dyDescent="0.25">
      <c r="H66" s="222" t="s">
        <v>822</v>
      </c>
      <c r="I66" s="722">
        <f>I67-SUM(I64:I65)</f>
        <v>115.39999999999999</v>
      </c>
      <c r="J66" s="722">
        <f t="shared" ref="J66:K66" si="31">J67-SUM(J64:J65)</f>
        <v>252.29999999999998</v>
      </c>
      <c r="K66" s="722">
        <f t="shared" si="31"/>
        <v>159.5</v>
      </c>
      <c r="L66" s="722" t="e">
        <f>1.26*L64</f>
        <v>#REF!</v>
      </c>
      <c r="P66" s="222"/>
      <c r="Q66" s="222"/>
      <c r="R66" s="222"/>
      <c r="S66" s="222"/>
      <c r="T66" s="222"/>
      <c r="U66" s="222"/>
      <c r="V66" s="222"/>
      <c r="W66" s="222"/>
      <c r="X66" s="222"/>
      <c r="Y66" s="222"/>
      <c r="Z66" s="222"/>
      <c r="AA66" s="222"/>
      <c r="AB66" s="222"/>
      <c r="AC66" s="222"/>
    </row>
    <row r="67" spans="7:29" x14ac:dyDescent="0.25">
      <c r="H67" s="222" t="s">
        <v>312</v>
      </c>
      <c r="I67" s="722">
        <f>M55</f>
        <v>208.7</v>
      </c>
      <c r="J67" s="722">
        <f>N55</f>
        <v>469.7</v>
      </c>
      <c r="K67" s="722">
        <f>O55</f>
        <v>295.5</v>
      </c>
      <c r="L67" s="722" t="e">
        <f>SUM(L64:L66)</f>
        <v>#REF!</v>
      </c>
    </row>
    <row r="68" spans="7:29" x14ac:dyDescent="0.25">
      <c r="G68" s="222" t="s">
        <v>823</v>
      </c>
    </row>
    <row r="69" spans="7:29" x14ac:dyDescent="0.25">
      <c r="H69" s="222" t="s">
        <v>821</v>
      </c>
      <c r="I69" s="608">
        <f>I64/I$67</f>
        <v>0.39099185433636796</v>
      </c>
      <c r="J69" s="608">
        <f t="shared" ref="J69:L69" si="32">J64/J$67</f>
        <v>0.40217159889291038</v>
      </c>
      <c r="K69" s="608">
        <f t="shared" si="32"/>
        <v>0.3966159052453469</v>
      </c>
      <c r="L69" s="608" t="e">
        <f t="shared" si="32"/>
        <v>#REF!</v>
      </c>
    </row>
    <row r="70" spans="7:29" x14ac:dyDescent="0.25">
      <c r="H70" s="222" t="s">
        <v>470</v>
      </c>
      <c r="I70" s="608">
        <f t="shared" ref="I70:L71" si="33">I65/I$67</f>
        <v>5.6061332055582176E-2</v>
      </c>
      <c r="J70" s="608">
        <f t="shared" si="33"/>
        <v>6.0677027890142649E-2</v>
      </c>
      <c r="K70" s="608">
        <f t="shared" si="33"/>
        <v>6.3620981387478848E-2</v>
      </c>
      <c r="L70" s="608" t="e">
        <f t="shared" si="33"/>
        <v>#REF!</v>
      </c>
    </row>
    <row r="71" spans="7:29" x14ac:dyDescent="0.25">
      <c r="H71" s="222" t="s">
        <v>822</v>
      </c>
      <c r="I71" s="608">
        <f t="shared" si="33"/>
        <v>0.55294681360804987</v>
      </c>
      <c r="J71" s="608">
        <f t="shared" si="33"/>
        <v>0.53715137321694695</v>
      </c>
      <c r="K71" s="608">
        <f t="shared" si="33"/>
        <v>0.53976311336717431</v>
      </c>
      <c r="L71" s="608" t="e">
        <f t="shared" si="33"/>
        <v>#REF!</v>
      </c>
    </row>
    <row r="73" spans="7:29" x14ac:dyDescent="0.25">
      <c r="H73" s="222" t="s">
        <v>824</v>
      </c>
      <c r="I73" s="222">
        <f>I66/I64</f>
        <v>1.4142156862745099</v>
      </c>
      <c r="J73" s="222">
        <f t="shared" ref="J73:K73" si="34">J66/J64</f>
        <v>1.3356273160402328</v>
      </c>
      <c r="K73" s="22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554687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334" t="s">
        <v>152</v>
      </c>
      <c r="C1" s="1334"/>
      <c r="D1" s="1334"/>
      <c r="E1" s="1334"/>
      <c r="F1" s="1334"/>
      <c r="G1" s="1334"/>
      <c r="H1" s="1334"/>
      <c r="I1" s="1334"/>
      <c r="J1" s="1334"/>
      <c r="K1" s="1334"/>
      <c r="L1" s="1334"/>
      <c r="M1" s="1334"/>
      <c r="N1" s="1334"/>
      <c r="O1" s="1334"/>
      <c r="P1" s="1334"/>
      <c r="Q1" s="1334"/>
      <c r="R1" s="1334"/>
      <c r="S1" s="1334"/>
      <c r="T1" s="1334"/>
    </row>
    <row r="2" spans="1:22" x14ac:dyDescent="0.25">
      <c r="B2" s="1484" t="s">
        <v>860</v>
      </c>
      <c r="C2" s="1484"/>
      <c r="D2" s="1484"/>
      <c r="E2" s="1484"/>
      <c r="F2" s="1484"/>
      <c r="G2" s="1484"/>
      <c r="H2" s="1484"/>
      <c r="I2" s="1484"/>
      <c r="J2" s="1484"/>
      <c r="K2" s="1484"/>
      <c r="L2" s="1484"/>
      <c r="M2" s="1484"/>
      <c r="N2" s="1484"/>
      <c r="O2" s="1484"/>
      <c r="P2" s="1484"/>
      <c r="Q2" s="1484"/>
      <c r="R2" s="1484"/>
      <c r="S2" s="1484"/>
      <c r="T2" s="1484"/>
    </row>
    <row r="3" spans="1:22" x14ac:dyDescent="0.25">
      <c r="B3" s="1484"/>
      <c r="C3" s="1484"/>
      <c r="D3" s="1484"/>
      <c r="E3" s="1484"/>
      <c r="F3" s="1484"/>
      <c r="G3" s="1484"/>
      <c r="H3" s="1484"/>
      <c r="I3" s="1484"/>
      <c r="J3" s="1484"/>
      <c r="K3" s="1484"/>
      <c r="L3" s="1484"/>
      <c r="M3" s="1484"/>
      <c r="N3" s="1484"/>
      <c r="O3" s="1484"/>
      <c r="P3" s="1484"/>
      <c r="Q3" s="1484"/>
      <c r="R3" s="1484"/>
      <c r="S3" s="1484"/>
      <c r="T3" s="1484"/>
    </row>
    <row r="4" spans="1:22" x14ac:dyDescent="0.25">
      <c r="B4" s="1484"/>
      <c r="C4" s="1484"/>
      <c r="D4" s="1484"/>
      <c r="E4" s="1484"/>
      <c r="F4" s="1484"/>
      <c r="G4" s="1484"/>
      <c r="H4" s="1484"/>
      <c r="I4" s="1484"/>
      <c r="J4" s="1484"/>
      <c r="K4" s="1484"/>
      <c r="L4" s="1484"/>
      <c r="M4" s="1484"/>
      <c r="N4" s="1484"/>
      <c r="O4" s="1484"/>
      <c r="P4" s="1484"/>
      <c r="Q4" s="1484"/>
      <c r="R4" s="1484"/>
      <c r="S4" s="1484"/>
      <c r="T4" s="1484"/>
    </row>
    <row r="5" spans="1:22" x14ac:dyDescent="0.25">
      <c r="B5" s="1484"/>
      <c r="C5" s="1484"/>
      <c r="D5" s="1484"/>
      <c r="E5" s="1484"/>
      <c r="F5" s="1484"/>
      <c r="G5" s="1484"/>
      <c r="H5" s="1484"/>
      <c r="I5" s="1484"/>
      <c r="J5" s="1484"/>
      <c r="K5" s="1484"/>
      <c r="L5" s="1484"/>
      <c r="M5" s="1484"/>
      <c r="N5" s="1484"/>
      <c r="O5" s="1484"/>
      <c r="P5" s="1484"/>
      <c r="Q5" s="1484"/>
      <c r="R5" s="1484"/>
      <c r="S5" s="1484"/>
      <c r="T5" s="1484"/>
    </row>
    <row r="6" spans="1:22" x14ac:dyDescent="0.25">
      <c r="B6" s="1484"/>
      <c r="C6" s="1484"/>
      <c r="D6" s="1484"/>
      <c r="E6" s="1484"/>
      <c r="F6" s="1484"/>
      <c r="G6" s="1484"/>
      <c r="H6" s="1484"/>
      <c r="I6" s="1484"/>
      <c r="J6" s="1484"/>
      <c r="K6" s="1484"/>
      <c r="L6" s="1484"/>
      <c r="M6" s="1484"/>
      <c r="N6" s="1484"/>
      <c r="O6" s="1484"/>
      <c r="P6" s="1484"/>
      <c r="Q6" s="1484"/>
      <c r="R6" s="1484"/>
      <c r="S6" s="1484"/>
      <c r="T6" s="1484"/>
    </row>
    <row r="7" spans="1:22" x14ac:dyDescent="0.25">
      <c r="J7" s="183"/>
      <c r="K7" s="183"/>
      <c r="M7" s="183"/>
    </row>
    <row r="9" spans="1:22" ht="14.85" customHeight="1" x14ac:dyDescent="0.25">
      <c r="A9" s="634"/>
      <c r="B9" s="1485" t="s">
        <v>304</v>
      </c>
      <c r="C9" s="1486"/>
      <c r="D9" s="1049">
        <v>2018</v>
      </c>
      <c r="E9" s="1491">
        <v>2019</v>
      </c>
      <c r="F9" s="1492"/>
      <c r="G9" s="1492"/>
      <c r="H9" s="1493"/>
      <c r="I9" s="1489">
        <v>2020</v>
      </c>
      <c r="J9" s="1490"/>
      <c r="K9" s="1490"/>
      <c r="L9" s="1490"/>
      <c r="M9" s="1494">
        <v>2021</v>
      </c>
      <c r="N9" s="1495"/>
      <c r="O9" s="1495"/>
      <c r="P9" s="1496"/>
      <c r="Q9" s="1489">
        <v>2022</v>
      </c>
      <c r="R9" s="1497"/>
      <c r="S9" s="1497"/>
      <c r="T9" s="1498"/>
    </row>
    <row r="10" spans="1:22" x14ac:dyDescent="0.25">
      <c r="B10" s="1487"/>
      <c r="C10" s="1488"/>
      <c r="D10" s="1053" t="s">
        <v>282</v>
      </c>
      <c r="E10" s="1054" t="s">
        <v>283</v>
      </c>
      <c r="F10" s="664" t="s">
        <v>284</v>
      </c>
      <c r="G10" s="664" t="s">
        <v>238</v>
      </c>
      <c r="H10" s="1055" t="s">
        <v>282</v>
      </c>
      <c r="I10" s="1054" t="s">
        <v>283</v>
      </c>
      <c r="J10" s="664" t="s">
        <v>284</v>
      </c>
      <c r="K10" s="664" t="s">
        <v>238</v>
      </c>
      <c r="L10" s="664" t="s">
        <v>282</v>
      </c>
      <c r="M10" s="195" t="s">
        <v>283</v>
      </c>
      <c r="N10" s="196" t="s">
        <v>284</v>
      </c>
      <c r="O10" s="196" t="s">
        <v>238</v>
      </c>
      <c r="P10" s="197" t="s">
        <v>282</v>
      </c>
      <c r="Q10" s="664" t="s">
        <v>283</v>
      </c>
      <c r="R10" s="664" t="s">
        <v>284</v>
      </c>
      <c r="S10" s="664" t="s">
        <v>238</v>
      </c>
      <c r="T10" s="1055" t="s">
        <v>282</v>
      </c>
    </row>
    <row r="11" spans="1:22" ht="29.1" customHeight="1" x14ac:dyDescent="0.25">
      <c r="A11" s="1047"/>
      <c r="B11" s="1057" t="s">
        <v>139</v>
      </c>
      <c r="C11" s="1052" t="s">
        <v>305</v>
      </c>
      <c r="D11" s="1066"/>
      <c r="E11" s="1067"/>
      <c r="F11" s="1067"/>
      <c r="G11" s="1067"/>
      <c r="H11" s="1067"/>
      <c r="I11" s="1067"/>
      <c r="J11" s="1059">
        <f>'Haver Pivoted'!GU48</f>
        <v>160.9</v>
      </c>
      <c r="K11" s="1059">
        <f>'Haver Pivoted'!GV48</f>
        <v>58.4</v>
      </c>
      <c r="L11" s="1059">
        <f>'Haver Pivoted'!GW48</f>
        <v>34.5</v>
      </c>
      <c r="M11" s="1059">
        <f>'Haver Pivoted'!GX48</f>
        <v>21.4</v>
      </c>
      <c r="N11" s="1059">
        <f>'Haver Pivoted'!GY48</f>
        <v>13.3</v>
      </c>
      <c r="O11" s="1059">
        <f>'Haver Pivoted'!GZ48</f>
        <v>18.7</v>
      </c>
      <c r="P11" s="1059">
        <f>'Haver Pivoted'!HA48</f>
        <v>32.200000000000003</v>
      </c>
      <c r="Q11" s="1059">
        <f>'Haver Pivoted'!HB48</f>
        <v>26.9</v>
      </c>
      <c r="R11" s="1059">
        <f>'Haver Pivoted'!HC48</f>
        <v>20</v>
      </c>
      <c r="S11" s="1065">
        <f>'Haver Pivoted'!HD48</f>
        <v>8.1</v>
      </c>
      <c r="T11" s="1060">
        <f>'Haver Pivoted'!HE48</f>
        <v>4.9000000000000004</v>
      </c>
    </row>
    <row r="12" spans="1:22" ht="29.1" customHeight="1" x14ac:dyDescent="0.25">
      <c r="A12" s="1047"/>
      <c r="B12" s="1045" t="s">
        <v>306</v>
      </c>
      <c r="C12" s="160" t="s">
        <v>307</v>
      </c>
      <c r="D12" s="1045"/>
      <c r="E12" s="160"/>
      <c r="F12" s="160"/>
      <c r="G12" s="160"/>
      <c r="H12" s="160"/>
      <c r="I12" s="160"/>
      <c r="J12" s="1061">
        <f>'Haver Pivoted'!GU58</f>
        <v>64.400000000000006</v>
      </c>
      <c r="K12" s="1061">
        <f>'Haver Pivoted'!GV58</f>
        <v>23.4</v>
      </c>
      <c r="L12" s="1061">
        <f>'Haver Pivoted'!GW58</f>
        <v>13.8</v>
      </c>
      <c r="M12" s="1061">
        <f>'Haver Pivoted'!GX58</f>
        <v>12</v>
      </c>
      <c r="N12" s="1061">
        <f>'Haver Pivoted'!GY58</f>
        <v>7.5</v>
      </c>
      <c r="O12" s="1061">
        <f>'Haver Pivoted'!GZ58</f>
        <v>10.5</v>
      </c>
      <c r="P12" s="1061">
        <f>'Haver Pivoted'!HA58</f>
        <v>18</v>
      </c>
      <c r="Q12" s="1061">
        <f>'Haver Pivoted'!HB58</f>
        <v>15</v>
      </c>
      <c r="R12" s="1061">
        <f>'Haver Pivoted'!HC58</f>
        <v>11.2</v>
      </c>
      <c r="S12" s="1064">
        <f>'Haver Pivoted'!HD58</f>
        <v>7.5</v>
      </c>
      <c r="T12" s="1043">
        <f>'Haver Pivoted'!HE58</f>
        <v>6.2</v>
      </c>
    </row>
    <row r="13" spans="1:22" ht="47.1" customHeight="1" x14ac:dyDescent="0.25">
      <c r="A13" s="1047"/>
      <c r="B13" s="1045" t="s">
        <v>308</v>
      </c>
      <c r="C13" s="160" t="s">
        <v>309</v>
      </c>
      <c r="D13" s="1045"/>
      <c r="E13" s="160"/>
      <c r="F13" s="160"/>
      <c r="G13" s="160"/>
      <c r="H13" s="160"/>
      <c r="I13" s="160"/>
      <c r="J13" s="1061">
        <f>'Haver Pivoted'!GU54</f>
        <v>96.6</v>
      </c>
      <c r="K13" s="1061">
        <f>'Haver Pivoted'!GV54</f>
        <v>35.1</v>
      </c>
      <c r="L13" s="1061">
        <f>'Haver Pivoted'!GW54</f>
        <v>20.7</v>
      </c>
      <c r="M13" s="1061">
        <f>'Haver Pivoted'!GX54</f>
        <v>15.4</v>
      </c>
      <c r="N13" s="1061">
        <f>'Haver Pivoted'!GY54</f>
        <v>9.6</v>
      </c>
      <c r="O13" s="1061">
        <f>'Haver Pivoted'!GZ54</f>
        <v>13.5</v>
      </c>
      <c r="P13" s="1061">
        <f>'Haver Pivoted'!HA54</f>
        <v>23.2</v>
      </c>
      <c r="Q13" s="1061">
        <f>'Haver Pivoted'!HB54</f>
        <v>19.3</v>
      </c>
      <c r="R13" s="1061">
        <f>'Haver Pivoted'!HC54</f>
        <v>14.4</v>
      </c>
      <c r="S13" s="1064">
        <f>'Haver Pivoted'!HD54</f>
        <v>5.9</v>
      </c>
      <c r="T13" s="1043">
        <f>'Haver Pivoted'!HE54</f>
        <v>3.6</v>
      </c>
      <c r="U13" s="1062" t="s">
        <v>310</v>
      </c>
      <c r="V13" s="1050" t="s">
        <v>311</v>
      </c>
    </row>
    <row r="14" spans="1:22" x14ac:dyDescent="0.25">
      <c r="B14" s="54" t="s">
        <v>312</v>
      </c>
      <c r="C14" s="56"/>
      <c r="D14" s="54"/>
      <c r="E14" s="56"/>
      <c r="F14" s="56"/>
      <c r="G14" s="56"/>
      <c r="H14" s="56"/>
      <c r="I14" s="56"/>
      <c r="J14" s="1061">
        <f t="shared" ref="J14:T14" si="0">J13+J12+J11</f>
        <v>321.89999999999998</v>
      </c>
      <c r="K14" s="1061">
        <f t="shared" si="0"/>
        <v>116.9</v>
      </c>
      <c r="L14" s="1061">
        <f t="shared" si="0"/>
        <v>69</v>
      </c>
      <c r="M14" s="1061">
        <f t="shared" si="0"/>
        <v>48.8</v>
      </c>
      <c r="N14" s="1061">
        <f t="shared" si="0"/>
        <v>30.400000000000002</v>
      </c>
      <c r="O14" s="1061">
        <f t="shared" si="0"/>
        <v>42.7</v>
      </c>
      <c r="P14" s="1061">
        <f t="shared" si="0"/>
        <v>73.400000000000006</v>
      </c>
      <c r="Q14" s="1061">
        <f t="shared" si="0"/>
        <v>61.199999999999996</v>
      </c>
      <c r="R14" s="1061">
        <f t="shared" si="0"/>
        <v>45.6</v>
      </c>
      <c r="S14" s="1064">
        <f t="shared" si="0"/>
        <v>21.5</v>
      </c>
      <c r="T14" s="1043">
        <f t="shared" si="0"/>
        <v>14.700000000000001</v>
      </c>
      <c r="U14" s="1063">
        <v>236</v>
      </c>
      <c r="V14" s="1056">
        <f>SUM(J14:S14)/4</f>
        <v>207.85</v>
      </c>
    </row>
    <row r="15" spans="1:22" x14ac:dyDescent="0.25">
      <c r="B15" s="1046" t="s">
        <v>313</v>
      </c>
      <c r="C15" s="58"/>
      <c r="D15" s="1046"/>
      <c r="E15" s="58"/>
      <c r="F15" s="58"/>
      <c r="G15" s="58"/>
      <c r="H15" s="58"/>
      <c r="I15" s="58"/>
      <c r="J15" s="634">
        <f t="shared" ref="J15:N17" si="1">J11/J$14</f>
        <v>0.49984467225846541</v>
      </c>
      <c r="K15" s="634">
        <f t="shared" si="1"/>
        <v>0.49957228400342168</v>
      </c>
      <c r="L15" s="634">
        <f t="shared" si="1"/>
        <v>0.5</v>
      </c>
      <c r="M15" s="634">
        <f t="shared" si="1"/>
        <v>0.43852459016393441</v>
      </c>
      <c r="N15" s="634">
        <f t="shared" si="1"/>
        <v>0.4375</v>
      </c>
      <c r="O15" s="634">
        <f>O11/O$14</f>
        <v>0.43793911007025754</v>
      </c>
      <c r="P15" s="634">
        <f t="shared" ref="P15:T15" si="2">P11/P$14</f>
        <v>0.43869209809264303</v>
      </c>
      <c r="Q15" s="634">
        <f t="shared" si="2"/>
        <v>0.43954248366013071</v>
      </c>
      <c r="R15" s="634">
        <f t="shared" si="2"/>
        <v>0.43859649122807015</v>
      </c>
      <c r="S15" s="664">
        <f t="shared" si="2"/>
        <v>0.37674418604651161</v>
      </c>
      <c r="T15" s="1055">
        <f t="shared" si="2"/>
        <v>0.33333333333333331</v>
      </c>
    </row>
    <row r="16" spans="1:22" x14ac:dyDescent="0.25">
      <c r="B16" s="1046" t="s">
        <v>314</v>
      </c>
      <c r="C16" s="58"/>
      <c r="D16" s="1046"/>
      <c r="E16" s="58"/>
      <c r="F16" s="58"/>
      <c r="G16" s="58"/>
      <c r="H16" s="58"/>
      <c r="I16" s="58"/>
      <c r="J16" s="634">
        <f t="shared" si="1"/>
        <v>0.20006213109661389</v>
      </c>
      <c r="K16" s="634">
        <f t="shared" si="1"/>
        <v>0.20017108639863129</v>
      </c>
      <c r="L16" s="634">
        <f t="shared" si="1"/>
        <v>0.2</v>
      </c>
      <c r="M16" s="634">
        <f t="shared" si="1"/>
        <v>0.24590163934426232</v>
      </c>
      <c r="N16" s="634">
        <f t="shared" si="1"/>
        <v>0.24671052631578946</v>
      </c>
      <c r="O16" s="634">
        <f t="shared" ref="O16:T16" si="3">O12/O$14</f>
        <v>0.24590163934426229</v>
      </c>
      <c r="P16" s="634">
        <f t="shared" si="3"/>
        <v>0.24523160762942778</v>
      </c>
      <c r="Q16" s="634">
        <f t="shared" si="3"/>
        <v>0.24509803921568629</v>
      </c>
      <c r="R16" s="634">
        <f t="shared" si="3"/>
        <v>0.24561403508771928</v>
      </c>
      <c r="S16" s="664">
        <f t="shared" si="3"/>
        <v>0.34883720930232559</v>
      </c>
      <c r="T16" s="1055">
        <f t="shared" si="3"/>
        <v>0.42176870748299317</v>
      </c>
      <c r="U16" s="145"/>
    </row>
    <row r="17" spans="2:21" x14ac:dyDescent="0.25">
      <c r="B17" s="1048" t="s">
        <v>315</v>
      </c>
      <c r="C17" s="1051"/>
      <c r="D17" s="1048"/>
      <c r="E17" s="1051"/>
      <c r="F17" s="1051"/>
      <c r="G17" s="1051"/>
      <c r="H17" s="1051"/>
      <c r="I17" s="1051"/>
      <c r="J17" s="654">
        <f t="shared" si="1"/>
        <v>0.30009319664492079</v>
      </c>
      <c r="K17" s="654">
        <f t="shared" si="1"/>
        <v>0.30025662959794697</v>
      </c>
      <c r="L17" s="654">
        <f t="shared" si="1"/>
        <v>0.3</v>
      </c>
      <c r="M17" s="654">
        <f t="shared" si="1"/>
        <v>0.3155737704918033</v>
      </c>
      <c r="N17" s="654">
        <f t="shared" si="1"/>
        <v>0.31578947368421051</v>
      </c>
      <c r="O17" s="654">
        <f t="shared" ref="O17:T17" si="4">O13/O$14</f>
        <v>0.31615925058548006</v>
      </c>
      <c r="P17" s="654">
        <f t="shared" si="4"/>
        <v>0.3160762942779291</v>
      </c>
      <c r="Q17" s="654">
        <f t="shared" si="4"/>
        <v>0.31535947712418305</v>
      </c>
      <c r="R17" s="654">
        <f t="shared" si="4"/>
        <v>0.31578947368421051</v>
      </c>
      <c r="S17" s="1058">
        <f t="shared" si="4"/>
        <v>0.2744186046511628</v>
      </c>
      <c r="T17" s="1044">
        <f t="shared" si="4"/>
        <v>0.24489795918367346</v>
      </c>
    </row>
    <row r="18" spans="2:21" x14ac:dyDescent="0.25">
      <c r="B18" s="58"/>
      <c r="C18" s="58"/>
      <c r="D18" s="58"/>
      <c r="E18" s="58"/>
      <c r="F18" s="58"/>
      <c r="G18" s="58"/>
      <c r="H18" s="58"/>
      <c r="I18" s="58"/>
      <c r="J18" s="634"/>
      <c r="K18" s="634"/>
      <c r="L18" s="634"/>
      <c r="M18" s="634"/>
      <c r="N18" s="634"/>
      <c r="O18" s="634"/>
    </row>
    <row r="19" spans="2:21" ht="15.75" customHeight="1" x14ac:dyDescent="0.25"/>
    <row r="21" spans="2:21" ht="30" customHeight="1" x14ac:dyDescent="0.25"/>
    <row r="22" spans="2:21" ht="27" customHeight="1" x14ac:dyDescent="0.25">
      <c r="M22" s="35"/>
      <c r="N22" s="35"/>
      <c r="O22" s="35"/>
      <c r="P22" s="14"/>
      <c r="Q22" s="14"/>
      <c r="R22" s="14"/>
      <c r="S22" s="14"/>
      <c r="T22" s="14"/>
      <c r="U22" s="35"/>
    </row>
    <row r="23" spans="2:21" ht="31.5" customHeight="1" x14ac:dyDescent="0.25">
      <c r="M23" s="35"/>
      <c r="N23" s="35"/>
      <c r="O23" s="35"/>
      <c r="P23" s="14"/>
      <c r="Q23" s="14"/>
      <c r="R23" s="14"/>
      <c r="S23" s="14"/>
      <c r="T23" s="14"/>
      <c r="U23" s="35"/>
    </row>
    <row r="24" spans="2:21" ht="24.6" customHeight="1" x14ac:dyDescent="0.25">
      <c r="M24" s="35"/>
      <c r="N24" s="35"/>
      <c r="O24" s="35"/>
      <c r="P24" s="14"/>
      <c r="Q24" s="14"/>
      <c r="R24" s="14"/>
      <c r="S24" s="14"/>
      <c r="T24" s="14"/>
      <c r="U24" s="35"/>
    </row>
    <row r="25" spans="2:21" x14ac:dyDescent="0.25">
      <c r="M25" s="35"/>
      <c r="N25" s="35"/>
      <c r="O25" s="35"/>
      <c r="P25" s="35"/>
      <c r="Q25" s="35"/>
      <c r="R25" s="35"/>
      <c r="S25" s="35"/>
      <c r="T25" s="35"/>
      <c r="U25" s="35"/>
    </row>
    <row r="26" spans="2:21" x14ac:dyDescent="0.25">
      <c r="M26" s="35"/>
      <c r="N26" s="35"/>
      <c r="O26" s="35"/>
      <c r="P26" s="35"/>
      <c r="Q26" s="35"/>
      <c r="R26" s="35"/>
      <c r="S26" s="35"/>
      <c r="T26" s="35"/>
      <c r="U26" s="35"/>
    </row>
    <row r="27" spans="2:21" x14ac:dyDescent="0.25">
      <c r="M27" s="35"/>
      <c r="N27" s="35"/>
      <c r="O27" s="35"/>
      <c r="P27" s="35"/>
      <c r="Q27" s="35"/>
      <c r="R27" s="35"/>
      <c r="S27" s="35"/>
      <c r="T27" s="35"/>
      <c r="U27" s="35"/>
    </row>
    <row r="28" spans="2:21" x14ac:dyDescent="0.25">
      <c r="M28" s="35"/>
      <c r="N28" s="35"/>
      <c r="O28" s="35"/>
      <c r="P28" s="35"/>
      <c r="Q28" s="35"/>
      <c r="R28" s="35"/>
      <c r="S28" s="35"/>
      <c r="T28" s="35"/>
      <c r="U28" s="35"/>
    </row>
    <row r="29" spans="2:21" x14ac:dyDescent="0.25">
      <c r="M29" s="35"/>
      <c r="N29" s="35"/>
      <c r="O29" s="35"/>
      <c r="P29" s="35"/>
      <c r="Q29" s="35"/>
      <c r="R29" s="35"/>
      <c r="S29" s="35"/>
      <c r="T29" s="35"/>
      <c r="U29" s="35"/>
    </row>
    <row r="30" spans="2:21" x14ac:dyDescent="0.25">
      <c r="M30" s="35"/>
      <c r="N30" s="35"/>
      <c r="O30" s="35"/>
      <c r="P30" s="35"/>
      <c r="Q30" s="35"/>
      <c r="R30" s="35"/>
      <c r="S30" s="35"/>
      <c r="T30" s="35"/>
      <c r="U30" s="35"/>
    </row>
    <row r="31" spans="2:21" x14ac:dyDescent="0.25">
      <c r="M31" s="35"/>
      <c r="N31" s="35"/>
      <c r="O31" s="35"/>
      <c r="P31" s="35"/>
      <c r="Q31" s="35"/>
      <c r="R31" s="35"/>
      <c r="S31" s="35"/>
      <c r="T31" s="35"/>
      <c r="U31" s="35"/>
    </row>
    <row r="32" spans="2:21" x14ac:dyDescent="0.25">
      <c r="M32" s="35"/>
      <c r="N32" s="35"/>
      <c r="O32" s="35"/>
      <c r="P32" s="35"/>
      <c r="Q32" s="35"/>
      <c r="R32" s="35"/>
      <c r="S32" s="35"/>
      <c r="T32" s="35"/>
      <c r="U32" s="35"/>
    </row>
    <row r="33" spans="13:21" x14ac:dyDescent="0.25">
      <c r="M33" s="35"/>
      <c r="N33" s="35"/>
      <c r="O33" s="35"/>
      <c r="P33" s="35"/>
      <c r="Q33" s="35"/>
      <c r="R33" s="35"/>
      <c r="S33" s="35"/>
      <c r="T33" s="35"/>
      <c r="U33" s="35"/>
    </row>
    <row r="34" spans="13:21" x14ac:dyDescent="0.25">
      <c r="M34" s="35"/>
      <c r="N34" s="35"/>
      <c r="O34" s="35"/>
      <c r="P34" s="35"/>
      <c r="Q34" s="35"/>
      <c r="R34" s="35"/>
      <c r="S34" s="35"/>
      <c r="T34" s="35"/>
      <c r="U34" s="35"/>
    </row>
    <row r="35" spans="13:21" x14ac:dyDescent="0.25">
      <c r="M35" s="35"/>
      <c r="N35" s="35"/>
      <c r="O35" s="35"/>
      <c r="P35" s="35"/>
      <c r="Q35" s="35"/>
      <c r="R35" s="35"/>
      <c r="S35" s="35"/>
      <c r="T35" s="35"/>
      <c r="U35" s="35"/>
    </row>
    <row r="36" spans="13:21" x14ac:dyDescent="0.25">
      <c r="M36" s="35"/>
      <c r="N36" s="35"/>
      <c r="O36" s="35"/>
      <c r="P36" s="35"/>
      <c r="Q36" s="35"/>
      <c r="R36" s="35"/>
      <c r="S36" s="35"/>
      <c r="T36" s="35"/>
      <c r="U36" s="35"/>
    </row>
    <row r="37" spans="13:21" x14ac:dyDescent="0.25">
      <c r="M37" s="35"/>
      <c r="N37" s="35"/>
      <c r="O37" s="35"/>
      <c r="P37" s="35"/>
      <c r="Q37" s="35"/>
      <c r="R37" s="35"/>
      <c r="S37" s="35"/>
      <c r="T37" s="35"/>
      <c r="U37" s="35"/>
    </row>
    <row r="38" spans="13:21" x14ac:dyDescent="0.25">
      <c r="M38" s="35"/>
      <c r="N38" s="35"/>
      <c r="O38" s="35"/>
      <c r="P38" s="35"/>
      <c r="Q38" s="35"/>
      <c r="R38" s="35"/>
      <c r="S38" s="35"/>
      <c r="T38" s="35"/>
      <c r="U38" s="35"/>
    </row>
    <row r="39" spans="13:21" x14ac:dyDescent="0.25">
      <c r="M39" s="35"/>
      <c r="N39" s="35"/>
      <c r="O39" s="35"/>
      <c r="P39" s="35"/>
      <c r="Q39" s="35"/>
      <c r="R39" s="35"/>
      <c r="S39" s="35"/>
      <c r="T39" s="35"/>
      <c r="U39" s="35"/>
    </row>
    <row r="40" spans="13:21" x14ac:dyDescent="0.25">
      <c r="M40" s="35"/>
      <c r="N40" s="35"/>
      <c r="O40" s="35"/>
      <c r="P40" s="35"/>
      <c r="Q40" s="35"/>
      <c r="R40" s="35"/>
      <c r="S40" s="35"/>
      <c r="T40" s="35"/>
      <c r="U40" s="35"/>
    </row>
    <row r="41" spans="13:21" x14ac:dyDescent="0.25">
      <c r="M41" s="35"/>
      <c r="N41" s="35"/>
      <c r="O41" s="35"/>
      <c r="P41" s="35"/>
      <c r="Q41" s="35"/>
      <c r="R41" s="35"/>
      <c r="S41" s="35"/>
      <c r="T41" s="35"/>
      <c r="U41" s="35"/>
    </row>
    <row r="42" spans="13:21" x14ac:dyDescent="0.25">
      <c r="M42" s="35"/>
      <c r="N42" s="35"/>
      <c r="O42" s="35"/>
      <c r="P42" s="35"/>
      <c r="Q42" s="35"/>
      <c r="R42" s="35"/>
      <c r="S42" s="35"/>
      <c r="T42" s="35"/>
      <c r="U42" s="35"/>
    </row>
    <row r="43" spans="13:21" x14ac:dyDescent="0.25">
      <c r="M43" s="35"/>
      <c r="N43" s="35"/>
      <c r="O43" s="35"/>
      <c r="P43" s="35"/>
      <c r="Q43" s="35"/>
      <c r="R43" s="35"/>
      <c r="S43" s="35"/>
      <c r="T43" s="35"/>
      <c r="U43" s="35"/>
    </row>
    <row r="44" spans="13:21" x14ac:dyDescent="0.25">
      <c r="M44" s="35"/>
      <c r="N44" s="35"/>
      <c r="O44" s="35"/>
      <c r="P44" s="35"/>
      <c r="Q44" s="35"/>
      <c r="R44" s="35"/>
      <c r="S44" s="35"/>
      <c r="T44" s="35"/>
      <c r="U44" s="35"/>
    </row>
    <row r="45" spans="13:21" x14ac:dyDescent="0.2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A4" zoomScale="90" zoomScaleNormal="90" workbookViewId="0">
      <selection activeCell="V10" sqref="V10"/>
    </sheetView>
  </sheetViews>
  <sheetFormatPr defaultColWidth="10.85546875" defaultRowHeight="15" x14ac:dyDescent="0.25"/>
  <cols>
    <col min="1" max="1" width="6" customWidth="1"/>
    <col min="2" max="2" width="29.42578125" customWidth="1"/>
    <col min="3" max="7" width="10.42578125" customWidth="1"/>
  </cols>
  <sheetData>
    <row r="1" spans="1:29" x14ac:dyDescent="0.25">
      <c r="B1" s="1357" t="s">
        <v>56</v>
      </c>
      <c r="C1" s="1357"/>
      <c r="D1" s="1357"/>
      <c r="E1" s="1357"/>
      <c r="F1" s="1357"/>
      <c r="G1" s="1357"/>
      <c r="H1" s="1357"/>
      <c r="I1" s="1357"/>
      <c r="J1" s="1357"/>
      <c r="K1" s="1357"/>
      <c r="L1" s="1357"/>
      <c r="M1" s="1357"/>
      <c r="N1" s="1357"/>
      <c r="O1" s="1357"/>
      <c r="P1" s="1357"/>
      <c r="Q1" s="1357"/>
      <c r="R1" s="1357"/>
      <c r="S1" s="1357"/>
      <c r="T1" s="1357"/>
      <c r="U1" s="1357"/>
      <c r="V1" s="1357"/>
      <c r="W1" s="1357"/>
      <c r="X1" s="1357"/>
      <c r="Y1" s="1357"/>
      <c r="Z1" s="1357"/>
      <c r="AA1" s="1357"/>
      <c r="AB1" s="1357"/>
      <c r="AC1" s="1357"/>
    </row>
    <row r="2" spans="1:29" ht="14.85" customHeight="1" x14ac:dyDescent="0.25">
      <c r="B2" s="1358" t="s">
        <v>459</v>
      </c>
      <c r="C2" s="1358"/>
      <c r="D2" s="1358"/>
      <c r="E2" s="1358"/>
      <c r="F2" s="1358"/>
      <c r="G2" s="1358"/>
      <c r="H2" s="1358"/>
      <c r="I2" s="1358"/>
      <c r="J2" s="1358"/>
      <c r="K2" s="1358"/>
      <c r="L2" s="1358"/>
      <c r="M2" s="1358"/>
      <c r="N2" s="1358"/>
      <c r="O2" s="1358"/>
      <c r="P2" s="1358"/>
      <c r="Q2" s="1358"/>
      <c r="R2" s="1358"/>
      <c r="S2" s="1358"/>
      <c r="T2" s="1358"/>
      <c r="U2" s="1358"/>
      <c r="V2" s="1358"/>
      <c r="W2" s="1358"/>
      <c r="X2" s="1358"/>
      <c r="Y2" s="1358"/>
      <c r="Z2" s="1358"/>
      <c r="AA2" s="1358"/>
      <c r="AB2" s="1358"/>
      <c r="AC2" s="1358"/>
    </row>
    <row r="3" spans="1:29" x14ac:dyDescent="0.25">
      <c r="B3" s="1358"/>
      <c r="C3" s="1358"/>
      <c r="D3" s="1358"/>
      <c r="E3" s="1358"/>
      <c r="F3" s="1358"/>
      <c r="G3" s="1358"/>
      <c r="H3" s="1358"/>
      <c r="I3" s="1358"/>
      <c r="J3" s="1358"/>
      <c r="K3" s="1358"/>
      <c r="L3" s="1358"/>
      <c r="M3" s="1358"/>
      <c r="N3" s="1358"/>
      <c r="O3" s="1358"/>
      <c r="P3" s="1358"/>
      <c r="Q3" s="1358"/>
      <c r="R3" s="1358"/>
      <c r="S3" s="1358"/>
      <c r="T3" s="1358"/>
      <c r="U3" s="1358"/>
      <c r="V3" s="1358"/>
      <c r="W3" s="1358"/>
      <c r="X3" s="1358"/>
      <c r="Y3" s="1358"/>
      <c r="Z3" s="1358"/>
      <c r="AA3" s="1358"/>
      <c r="AB3" s="1358"/>
      <c r="AC3" s="1358"/>
    </row>
    <row r="4" spans="1:29" x14ac:dyDescent="0.25">
      <c r="B4" s="1358"/>
      <c r="C4" s="1358"/>
      <c r="D4" s="1358"/>
      <c r="E4" s="1358"/>
      <c r="F4" s="1358"/>
      <c r="G4" s="1358"/>
      <c r="H4" s="1358"/>
      <c r="I4" s="1358"/>
      <c r="J4" s="1358"/>
      <c r="K4" s="1358"/>
      <c r="L4" s="1358"/>
      <c r="M4" s="1358"/>
      <c r="N4" s="1358"/>
      <c r="O4" s="1358"/>
      <c r="P4" s="1358"/>
      <c r="Q4" s="1358"/>
      <c r="R4" s="1358"/>
      <c r="S4" s="1358"/>
      <c r="T4" s="1358"/>
      <c r="U4" s="1358"/>
      <c r="V4" s="1358"/>
      <c r="W4" s="1358"/>
      <c r="X4" s="1358"/>
      <c r="Y4" s="1358"/>
      <c r="Z4" s="1358"/>
      <c r="AA4" s="1358"/>
      <c r="AB4" s="1358"/>
      <c r="AC4" s="1358"/>
    </row>
    <row r="5" spans="1:29" x14ac:dyDescent="0.25">
      <c r="B5" s="387"/>
      <c r="C5" s="222"/>
      <c r="D5" s="222"/>
      <c r="E5" s="222"/>
      <c r="F5" s="222"/>
      <c r="G5" s="222"/>
      <c r="H5" s="222"/>
      <c r="I5" s="222"/>
      <c r="J5" s="222"/>
      <c r="K5" s="222"/>
      <c r="L5" s="222"/>
      <c r="M5" s="222"/>
      <c r="N5" s="222"/>
      <c r="O5" s="222"/>
      <c r="P5" s="222"/>
      <c r="Q5" s="222"/>
      <c r="R5" s="222"/>
      <c r="S5" s="222"/>
      <c r="T5" s="222"/>
      <c r="U5" s="222"/>
      <c r="V5" s="222"/>
      <c r="W5" s="222"/>
      <c r="X5" s="222"/>
      <c r="Y5" s="222"/>
    </row>
    <row r="6" spans="1:29" x14ac:dyDescent="0.25">
      <c r="B6" s="1362" t="s">
        <v>404</v>
      </c>
      <c r="C6" s="1363"/>
      <c r="D6" s="1382" t="s">
        <v>280</v>
      </c>
      <c r="E6" s="1383"/>
      <c r="F6" s="1383"/>
      <c r="G6" s="1383"/>
      <c r="H6" s="1383"/>
      <c r="I6" s="1383"/>
      <c r="J6" s="1383"/>
      <c r="K6" s="1383"/>
      <c r="L6" s="1383"/>
      <c r="M6" s="1383"/>
      <c r="N6" s="1383"/>
      <c r="O6" s="1383"/>
      <c r="P6" s="1383"/>
      <c r="Q6" s="1429"/>
      <c r="R6" s="1429"/>
      <c r="S6" s="1429"/>
      <c r="T6" s="1363"/>
      <c r="U6" s="1386" t="s">
        <v>281</v>
      </c>
      <c r="V6" s="1386"/>
      <c r="W6" s="1386"/>
      <c r="X6" s="1386"/>
      <c r="Y6" s="1386"/>
      <c r="Z6" s="1386"/>
      <c r="AA6" s="1386"/>
      <c r="AB6" s="1386"/>
      <c r="AC6" s="1387"/>
    </row>
    <row r="7" spans="1:29" x14ac:dyDescent="0.25">
      <c r="B7" s="1364"/>
      <c r="C7" s="1365"/>
      <c r="D7" s="200">
        <v>2018</v>
      </c>
      <c r="E7" s="1371">
        <v>2019</v>
      </c>
      <c r="F7" s="1372"/>
      <c r="G7" s="1372"/>
      <c r="H7" s="1373"/>
      <c r="I7" s="1371">
        <v>2020</v>
      </c>
      <c r="J7" s="1372"/>
      <c r="K7" s="1372"/>
      <c r="L7" s="1372"/>
      <c r="M7" s="1371">
        <v>2021</v>
      </c>
      <c r="N7" s="1372"/>
      <c r="O7" s="1372"/>
      <c r="P7" s="1372"/>
      <c r="Q7" s="1371">
        <v>2022</v>
      </c>
      <c r="R7" s="1403"/>
      <c r="S7" s="1403"/>
      <c r="T7" s="1373"/>
      <c r="U7" s="1369">
        <v>2023</v>
      </c>
      <c r="V7" s="1381"/>
      <c r="W7" s="1381"/>
      <c r="X7" s="1381"/>
      <c r="Y7" s="1368">
        <v>2024</v>
      </c>
      <c r="Z7" s="1381"/>
      <c r="AA7" s="1381"/>
      <c r="AB7" s="1370"/>
      <c r="AC7" s="233">
        <v>2025</v>
      </c>
    </row>
    <row r="8" spans="1:29" x14ac:dyDescent="0.25">
      <c r="B8" s="1366"/>
      <c r="C8" s="1367"/>
      <c r="D8" s="195" t="s">
        <v>282</v>
      </c>
      <c r="E8" s="195" t="s">
        <v>283</v>
      </c>
      <c r="F8" s="196" t="s">
        <v>284</v>
      </c>
      <c r="G8" s="196" t="s">
        <v>238</v>
      </c>
      <c r="H8" s="197" t="s">
        <v>282</v>
      </c>
      <c r="I8" s="196" t="s">
        <v>283</v>
      </c>
      <c r="J8" s="196" t="s">
        <v>284</v>
      </c>
      <c r="K8" s="196" t="s">
        <v>238</v>
      </c>
      <c r="L8" s="196" t="s">
        <v>282</v>
      </c>
      <c r="M8" s="195" t="s">
        <v>283</v>
      </c>
      <c r="N8" s="196" t="s">
        <v>284</v>
      </c>
      <c r="O8" s="196" t="s">
        <v>238</v>
      </c>
      <c r="P8" s="196" t="s">
        <v>282</v>
      </c>
      <c r="Q8" s="195" t="s">
        <v>283</v>
      </c>
      <c r="R8" s="196" t="s">
        <v>284</v>
      </c>
      <c r="S8" s="196" t="s">
        <v>238</v>
      </c>
      <c r="T8" s="197" t="s">
        <v>282</v>
      </c>
      <c r="U8" s="312" t="s">
        <v>283</v>
      </c>
      <c r="V8" s="312" t="s">
        <v>284</v>
      </c>
      <c r="W8" s="312" t="s">
        <v>238</v>
      </c>
      <c r="X8" s="312" t="s">
        <v>282</v>
      </c>
      <c r="Y8" s="421" t="s">
        <v>283</v>
      </c>
      <c r="Z8" s="320" t="s">
        <v>284</v>
      </c>
      <c r="AA8" s="312" t="s">
        <v>238</v>
      </c>
      <c r="AB8" s="420" t="s">
        <v>282</v>
      </c>
      <c r="AC8" s="832" t="s">
        <v>283</v>
      </c>
    </row>
    <row r="9" spans="1:29" x14ac:dyDescent="0.25">
      <c r="B9" s="561" t="s">
        <v>56</v>
      </c>
      <c r="C9" s="432" t="s">
        <v>460</v>
      </c>
      <c r="D9" s="561"/>
      <c r="E9" s="718"/>
      <c r="F9" s="718"/>
      <c r="G9" s="718"/>
      <c r="H9" s="718"/>
      <c r="I9" s="718"/>
      <c r="J9" s="291">
        <f>'Haver Pivoted'!GU45</f>
        <v>1078.0999999999999</v>
      </c>
      <c r="K9" s="291">
        <f>'Haver Pivoted'!GV45</f>
        <v>15.6</v>
      </c>
      <c r="L9" s="291">
        <f>'Haver Pivoted'!GW45</f>
        <v>5</v>
      </c>
      <c r="M9" s="291">
        <f>'Haver Pivoted'!GX45</f>
        <v>1933.7</v>
      </c>
      <c r="N9" s="291">
        <f>'Haver Pivoted'!GY45</f>
        <v>290.10000000000002</v>
      </c>
      <c r="O9" s="291">
        <f>'Haver Pivoted'!GZ45</f>
        <v>38.9</v>
      </c>
      <c r="P9" s="291">
        <f>'Haver Pivoted'!HA45</f>
        <v>14.2</v>
      </c>
      <c r="Q9" s="291">
        <f>'Haver Pivoted'!HB45</f>
        <v>0</v>
      </c>
      <c r="R9" s="291">
        <f>'Haver Pivoted'!HC45</f>
        <v>0</v>
      </c>
      <c r="S9" s="275">
        <f>'Haver Pivoted'!HD45</f>
        <v>0</v>
      </c>
      <c r="T9" s="202">
        <f>'Haver Pivoted'!HE45</f>
        <v>0</v>
      </c>
      <c r="U9" s="274"/>
      <c r="V9" s="274"/>
      <c r="W9" s="274"/>
      <c r="X9" s="274"/>
      <c r="Y9" s="274"/>
      <c r="Z9" s="274"/>
      <c r="AA9" s="274"/>
      <c r="AB9" s="274"/>
      <c r="AC9" s="199"/>
    </row>
    <row r="10" spans="1:29" x14ac:dyDescent="0.25">
      <c r="B10" s="579" t="s">
        <v>214</v>
      </c>
      <c r="C10" s="245"/>
      <c r="D10" s="579"/>
      <c r="E10" s="245"/>
      <c r="F10" s="245"/>
      <c r="G10" s="245"/>
      <c r="H10" s="245"/>
      <c r="I10" s="245"/>
      <c r="J10" s="635"/>
      <c r="K10" s="635"/>
      <c r="L10" s="635"/>
      <c r="M10" s="635">
        <f t="shared" ref="M10:T10" si="0">M9-M11</f>
        <v>1348.1</v>
      </c>
      <c r="N10" s="635">
        <f t="shared" si="0"/>
        <v>290.10000000000002</v>
      </c>
      <c r="O10" s="635">
        <f t="shared" si="0"/>
        <v>38.9</v>
      </c>
      <c r="P10" s="635">
        <f t="shared" si="0"/>
        <v>14.2</v>
      </c>
      <c r="Q10" s="635">
        <f t="shared" si="0"/>
        <v>0</v>
      </c>
      <c r="R10" s="635">
        <f t="shared" si="0"/>
        <v>0</v>
      </c>
      <c r="S10" s="1078">
        <f t="shared" si="0"/>
        <v>0</v>
      </c>
      <c r="T10" s="1068">
        <f t="shared" si="0"/>
        <v>0</v>
      </c>
      <c r="U10" s="1076"/>
      <c r="V10" s="1076"/>
      <c r="W10" s="1076"/>
      <c r="X10" s="1076"/>
      <c r="Y10" s="1076"/>
      <c r="Z10" s="1076"/>
      <c r="AA10" s="1076"/>
      <c r="AB10" s="1076"/>
      <c r="AC10" s="1077"/>
    </row>
    <row r="11" spans="1:29" x14ac:dyDescent="0.25">
      <c r="B11" s="532" t="s">
        <v>461</v>
      </c>
      <c r="C11" s="533"/>
      <c r="D11" s="532"/>
      <c r="E11" s="533"/>
      <c r="F11" s="533"/>
      <c r="G11" s="533"/>
      <c r="H11" s="533"/>
      <c r="I11" s="533"/>
      <c r="J11" s="655">
        <f t="shared" ref="J11:L11" si="1">J9-J10</f>
        <v>1078.0999999999999</v>
      </c>
      <c r="K11" s="655">
        <f t="shared" si="1"/>
        <v>15.6</v>
      </c>
      <c r="L11" s="655">
        <f t="shared" si="1"/>
        <v>5</v>
      </c>
      <c r="M11" s="655">
        <f>SUM(C17:D17)/12*4</f>
        <v>585.6</v>
      </c>
      <c r="N11" s="655">
        <v>0</v>
      </c>
      <c r="O11" s="655">
        <v>0</v>
      </c>
      <c r="P11" s="655">
        <v>0</v>
      </c>
      <c r="Q11" s="655">
        <v>0</v>
      </c>
      <c r="R11" s="655">
        <v>0</v>
      </c>
      <c r="S11" s="655">
        <v>0</v>
      </c>
      <c r="T11" s="986"/>
      <c r="U11" s="1070"/>
      <c r="V11" s="1070"/>
      <c r="W11" s="1070"/>
      <c r="X11" s="1070"/>
      <c r="Y11" s="1070"/>
      <c r="Z11" s="1070"/>
      <c r="AA11" s="1070"/>
      <c r="AB11" s="1070"/>
      <c r="AC11" s="1071"/>
    </row>
    <row r="12" spans="1:29" x14ac:dyDescent="0.25">
      <c r="B12" s="222"/>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35"/>
      <c r="AA12" s="35"/>
      <c r="AB12" s="35"/>
      <c r="AC12" s="35"/>
    </row>
    <row r="13" spans="1:29" x14ac:dyDescent="0.25">
      <c r="A13" s="76"/>
      <c r="B13" s="76"/>
      <c r="C13" s="76"/>
      <c r="D13" s="76"/>
      <c r="E13" s="76"/>
      <c r="F13" s="76"/>
      <c r="G13" s="76"/>
      <c r="H13" s="76"/>
      <c r="I13" s="76"/>
      <c r="J13" s="76"/>
      <c r="K13" s="76"/>
      <c r="L13" s="143"/>
      <c r="M13" s="143"/>
      <c r="N13" s="143"/>
    </row>
    <row r="14" spans="1:29" x14ac:dyDescent="0.25">
      <c r="A14" s="76"/>
      <c r="N14" s="35"/>
    </row>
    <row r="15" spans="1:29" x14ac:dyDescent="0.25">
      <c r="A15" s="634"/>
      <c r="B15" s="1499" t="s">
        <v>462</v>
      </c>
      <c r="C15" s="1489">
        <v>2021</v>
      </c>
      <c r="D15" s="1490"/>
      <c r="E15" s="1490"/>
      <c r="F15" s="1490"/>
      <c r="G15" s="47"/>
      <c r="K15" s="1501"/>
      <c r="L15" s="1501"/>
      <c r="M15" s="35"/>
      <c r="N15" s="35"/>
    </row>
    <row r="16" spans="1:29" x14ac:dyDescent="0.25">
      <c r="B16" s="1500"/>
      <c r="C16" s="1073" t="s">
        <v>234</v>
      </c>
      <c r="D16" s="1058" t="s">
        <v>235</v>
      </c>
      <c r="E16" s="1058" t="s">
        <v>236</v>
      </c>
      <c r="F16" s="1058" t="s">
        <v>237</v>
      </c>
      <c r="G16" s="1069"/>
      <c r="H16" s="634"/>
      <c r="I16" s="634"/>
      <c r="J16" s="634"/>
      <c r="K16" s="634"/>
      <c r="L16" s="634"/>
      <c r="M16" s="634"/>
      <c r="N16" s="634"/>
    </row>
    <row r="17" spans="2:29" ht="16.350000000000001" customHeight="1" x14ac:dyDescent="0.25">
      <c r="B17" s="1072" t="s">
        <v>463</v>
      </c>
      <c r="C17" s="1074">
        <v>1660.9</v>
      </c>
      <c r="D17" s="1074">
        <v>95.9</v>
      </c>
      <c r="E17" s="1074">
        <v>4044.2</v>
      </c>
      <c r="F17" s="1075">
        <v>688</v>
      </c>
      <c r="G17" s="138"/>
      <c r="H17" s="138"/>
      <c r="I17" s="138"/>
      <c r="J17" s="138"/>
      <c r="K17" s="138"/>
      <c r="L17" s="138"/>
      <c r="M17" s="222"/>
      <c r="N17" s="222"/>
    </row>
    <row r="18" spans="2:29" x14ac:dyDescent="0.25">
      <c r="B18" s="1034" t="s">
        <v>464</v>
      </c>
      <c r="C18" s="222"/>
      <c r="D18" s="222"/>
      <c r="E18" s="222"/>
      <c r="F18" s="222"/>
      <c r="G18" s="222"/>
      <c r="H18" s="222"/>
      <c r="I18" s="222"/>
      <c r="J18" s="222"/>
      <c r="K18" s="222"/>
      <c r="L18" s="222"/>
      <c r="M18" s="222"/>
      <c r="N18" s="222"/>
    </row>
    <row r="19" spans="2:29" x14ac:dyDescent="0.25">
      <c r="B19" s="222"/>
      <c r="C19" s="222"/>
      <c r="D19" s="222"/>
      <c r="E19" s="222"/>
      <c r="F19" s="222"/>
      <c r="G19" s="222"/>
      <c r="H19" s="222"/>
      <c r="I19" s="222"/>
      <c r="J19" s="222"/>
      <c r="K19" s="222"/>
      <c r="L19" s="222"/>
      <c r="M19" s="222"/>
      <c r="N19" s="222"/>
    </row>
    <row r="20" spans="2:29" x14ac:dyDescent="0.25">
      <c r="B20" s="1034"/>
      <c r="C20" s="222"/>
      <c r="D20" s="222"/>
      <c r="E20" s="222"/>
      <c r="F20" s="222"/>
      <c r="G20" s="222"/>
      <c r="H20" s="222"/>
      <c r="I20" s="222"/>
      <c r="J20" s="222"/>
      <c r="K20" s="222"/>
      <c r="L20" s="222"/>
      <c r="M20" s="222"/>
      <c r="N20" s="222"/>
    </row>
    <row r="21" spans="2:29" x14ac:dyDescent="0.25">
      <c r="B21" s="22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35"/>
      <c r="AA21" s="35"/>
      <c r="AB21" s="35"/>
      <c r="AC21" s="35"/>
    </row>
    <row r="22" spans="2:29" x14ac:dyDescent="0.25">
      <c r="B22" s="76"/>
      <c r="C22" s="76"/>
      <c r="D22" s="76"/>
      <c r="E22" s="76"/>
      <c r="F22" s="76"/>
      <c r="G22" s="76"/>
      <c r="H22" s="76"/>
      <c r="I22" s="76"/>
      <c r="J22" s="76"/>
      <c r="K22" s="76"/>
      <c r="L22" s="143"/>
      <c r="M22" s="143"/>
      <c r="N22" s="143"/>
    </row>
    <row r="23" spans="2:29" x14ac:dyDescent="0.25">
      <c r="B23" s="222"/>
      <c r="C23" s="222"/>
      <c r="D23" s="222"/>
      <c r="E23" s="222"/>
      <c r="F23" s="222"/>
      <c r="G23" s="222"/>
      <c r="H23" s="222"/>
      <c r="I23" s="222"/>
      <c r="J23" s="222"/>
      <c r="K23" s="222"/>
      <c r="L23" s="222"/>
      <c r="M23" s="222"/>
      <c r="N23" s="222"/>
      <c r="O23" s="222"/>
      <c r="P23" s="222"/>
      <c r="Q23" s="222"/>
      <c r="R23" s="222"/>
      <c r="S23" s="222"/>
      <c r="T23" s="222"/>
      <c r="U23" s="222"/>
      <c r="V23" s="222"/>
      <c r="W23" s="222"/>
      <c r="X23" s="222"/>
      <c r="Y23" s="222"/>
    </row>
    <row r="24" spans="2:29" x14ac:dyDescent="0.25">
      <c r="B24" s="222"/>
      <c r="C24" s="222"/>
      <c r="D24" s="222"/>
      <c r="E24" s="222"/>
      <c r="F24" s="222"/>
      <c r="G24" s="222"/>
      <c r="H24" s="222"/>
      <c r="I24" s="222"/>
      <c r="J24" s="222"/>
      <c r="K24" s="222"/>
      <c r="L24" s="222"/>
      <c r="M24" s="222"/>
      <c r="N24" s="222"/>
      <c r="O24" s="222"/>
      <c r="P24" s="222"/>
      <c r="Q24" s="222"/>
      <c r="R24" s="222"/>
      <c r="S24" s="222"/>
      <c r="T24" s="222"/>
      <c r="U24" s="222"/>
      <c r="V24" s="222"/>
      <c r="W24" s="222"/>
      <c r="X24" s="222"/>
      <c r="Y24" s="222"/>
    </row>
    <row r="25" spans="2:29" x14ac:dyDescent="0.25">
      <c r="B25" s="222"/>
      <c r="C25" s="222"/>
      <c r="D25" s="222"/>
      <c r="E25" s="222"/>
      <c r="F25" s="222"/>
      <c r="G25" s="222"/>
      <c r="H25" s="222"/>
      <c r="I25" s="222"/>
      <c r="J25" s="222"/>
      <c r="K25" s="222"/>
      <c r="L25" s="222"/>
      <c r="M25" s="222"/>
      <c r="N25" s="222"/>
      <c r="O25" s="222"/>
      <c r="P25" s="222"/>
      <c r="Q25" s="222"/>
      <c r="R25" s="222"/>
      <c r="S25" s="222"/>
      <c r="T25" s="222"/>
      <c r="U25" s="222"/>
      <c r="V25" s="222"/>
      <c r="W25" s="222"/>
      <c r="X25" s="222"/>
      <c r="Y25" s="222"/>
    </row>
    <row r="26" spans="2:29" x14ac:dyDescent="0.25">
      <c r="B26" s="222"/>
      <c r="C26" s="222"/>
      <c r="D26" s="222"/>
      <c r="E26" s="222"/>
      <c r="F26" s="222"/>
      <c r="G26" s="222"/>
      <c r="H26" s="222"/>
      <c r="I26" s="222"/>
      <c r="J26" s="222"/>
      <c r="K26" s="222"/>
      <c r="L26" s="222"/>
      <c r="M26" s="222"/>
      <c r="N26" s="222"/>
      <c r="O26" s="222"/>
      <c r="P26" s="222"/>
      <c r="Q26" s="222"/>
      <c r="R26" s="222"/>
      <c r="S26" s="222"/>
      <c r="T26" s="222"/>
      <c r="U26" s="222"/>
      <c r="V26" s="222"/>
      <c r="W26" s="222"/>
      <c r="X26" s="222"/>
      <c r="Y26" s="222"/>
    </row>
    <row r="27" spans="2:29" x14ac:dyDescent="0.25">
      <c r="B27" s="222"/>
      <c r="C27" s="222"/>
      <c r="D27" s="222"/>
      <c r="E27" s="222"/>
      <c r="F27" s="222"/>
      <c r="G27" s="222"/>
      <c r="H27" s="222"/>
      <c r="I27" s="222"/>
      <c r="J27" s="222"/>
      <c r="K27" s="222"/>
      <c r="L27" s="222"/>
      <c r="M27" s="222"/>
      <c r="N27" s="222"/>
      <c r="O27" s="222"/>
      <c r="P27" s="222"/>
      <c r="Q27" s="222"/>
      <c r="R27" s="222"/>
      <c r="S27" s="222"/>
      <c r="T27" s="222"/>
      <c r="U27" s="222"/>
      <c r="V27" s="222"/>
      <c r="W27" s="222"/>
      <c r="X27" s="222"/>
      <c r="Y27" s="222"/>
    </row>
    <row r="28" spans="2:29" x14ac:dyDescent="0.25">
      <c r="B28" s="222"/>
      <c r="C28" s="222"/>
      <c r="D28" s="222"/>
      <c r="E28" s="222"/>
      <c r="F28" s="222"/>
      <c r="G28" s="222"/>
      <c r="H28" s="222"/>
      <c r="I28" s="222"/>
      <c r="J28" s="222"/>
      <c r="K28" s="222"/>
      <c r="L28" s="222"/>
      <c r="M28" s="222"/>
      <c r="N28" s="222"/>
      <c r="O28" s="222"/>
      <c r="P28" s="222"/>
      <c r="Q28" s="222"/>
      <c r="R28" s="222"/>
      <c r="S28" s="222"/>
      <c r="T28" s="222"/>
      <c r="U28" s="222"/>
      <c r="V28" s="222"/>
      <c r="W28" s="222"/>
      <c r="X28" s="222"/>
      <c r="Y28" s="222"/>
    </row>
    <row r="29" spans="2:29" x14ac:dyDescent="0.25">
      <c r="B29" s="222"/>
      <c r="C29" s="222"/>
      <c r="D29" s="222"/>
      <c r="E29" s="222"/>
      <c r="F29" s="222"/>
      <c r="G29" s="222"/>
      <c r="H29" s="222"/>
      <c r="I29" s="222"/>
      <c r="J29" s="222"/>
      <c r="K29" s="222"/>
      <c r="L29" s="222"/>
      <c r="M29" s="222"/>
      <c r="N29" s="222"/>
      <c r="O29" s="222"/>
      <c r="P29" s="222"/>
      <c r="Q29" s="222"/>
      <c r="R29" s="222"/>
      <c r="S29" s="222"/>
      <c r="T29" s="222"/>
      <c r="U29" s="222"/>
      <c r="V29" s="222"/>
      <c r="W29" s="222"/>
      <c r="X29" s="222"/>
      <c r="Y29" s="222"/>
    </row>
    <row r="30" spans="2:29" x14ac:dyDescent="0.25">
      <c r="B30" s="222"/>
      <c r="C30" s="222"/>
      <c r="D30" s="222"/>
      <c r="E30" s="222"/>
      <c r="F30" s="222"/>
      <c r="G30" s="222"/>
      <c r="H30" s="222"/>
      <c r="I30" s="222"/>
      <c r="J30" s="222"/>
      <c r="K30" s="222"/>
      <c r="L30" s="222"/>
      <c r="M30" s="222"/>
      <c r="N30" s="222"/>
      <c r="O30" s="222"/>
      <c r="P30" s="222"/>
      <c r="Q30" s="222"/>
      <c r="R30" s="222"/>
      <c r="S30" s="222"/>
      <c r="T30" s="222"/>
      <c r="U30" s="222"/>
      <c r="V30" s="222"/>
      <c r="W30" s="222"/>
      <c r="X30" s="222"/>
      <c r="Y30" s="222"/>
    </row>
    <row r="31" spans="2:29" x14ac:dyDescent="0.25">
      <c r="B31" s="222"/>
      <c r="C31" s="222"/>
      <c r="D31" s="222"/>
      <c r="E31" s="222"/>
      <c r="F31" s="222"/>
      <c r="G31" s="222"/>
      <c r="H31" s="222"/>
      <c r="I31" s="222"/>
      <c r="J31" s="222"/>
      <c r="K31" s="222"/>
      <c r="L31" s="222"/>
      <c r="M31" s="222"/>
      <c r="N31" s="222"/>
      <c r="O31" s="222"/>
      <c r="P31" s="222"/>
      <c r="Q31" s="222"/>
      <c r="R31" s="222"/>
      <c r="S31" s="222"/>
      <c r="T31" s="222"/>
      <c r="U31" s="222"/>
      <c r="V31" s="222"/>
      <c r="W31" s="222"/>
      <c r="X31" s="222"/>
      <c r="Y31" s="222"/>
    </row>
    <row r="32" spans="2:29" x14ac:dyDescent="0.25">
      <c r="B32" s="222"/>
      <c r="C32" s="222"/>
      <c r="D32" s="222"/>
      <c r="E32" s="222"/>
      <c r="F32" s="222"/>
      <c r="G32" s="222"/>
      <c r="H32" s="222"/>
      <c r="I32" s="222"/>
      <c r="J32" s="222"/>
      <c r="K32" s="222"/>
      <c r="L32" s="222"/>
      <c r="M32" s="222"/>
      <c r="N32" s="222"/>
      <c r="O32" s="222"/>
      <c r="P32" s="222"/>
      <c r="Q32" s="222"/>
      <c r="R32" s="222"/>
      <c r="S32" s="222"/>
      <c r="T32" s="222"/>
      <c r="U32" s="222"/>
      <c r="V32" s="222"/>
      <c r="W32" s="222"/>
      <c r="X32" s="222"/>
      <c r="Y32" s="222"/>
    </row>
    <row r="33" spans="2:25" x14ac:dyDescent="0.25">
      <c r="B33" s="222"/>
      <c r="C33" s="222"/>
      <c r="D33" s="222"/>
      <c r="E33" s="222"/>
      <c r="F33" s="222"/>
      <c r="G33" s="222"/>
      <c r="H33" s="222"/>
      <c r="I33" s="222"/>
      <c r="J33" s="222"/>
      <c r="K33" s="222"/>
      <c r="L33" s="222"/>
      <c r="M33" s="222"/>
      <c r="N33" s="222"/>
      <c r="O33" s="222"/>
      <c r="P33" s="222"/>
      <c r="Q33" s="222"/>
      <c r="R33" s="222"/>
      <c r="S33" s="222"/>
      <c r="T33" s="222"/>
      <c r="U33" s="222"/>
      <c r="V33" s="222"/>
      <c r="W33" s="222"/>
      <c r="X33" s="222"/>
      <c r="Y33" s="222"/>
    </row>
    <row r="34" spans="2:25" x14ac:dyDescent="0.25">
      <c r="B34" s="222"/>
      <c r="C34" s="222"/>
      <c r="D34" s="222"/>
      <c r="E34" s="222"/>
      <c r="F34" s="222"/>
      <c r="G34" s="222"/>
      <c r="H34" s="222"/>
      <c r="I34" s="222"/>
      <c r="J34" s="222"/>
      <c r="K34" s="222"/>
      <c r="L34" s="222"/>
      <c r="M34" s="222"/>
      <c r="N34" s="222"/>
      <c r="O34" s="222"/>
      <c r="P34" s="222"/>
      <c r="Q34" s="222"/>
      <c r="R34" s="222"/>
      <c r="S34" s="222"/>
      <c r="T34" s="222"/>
      <c r="U34" s="222"/>
      <c r="V34" s="222"/>
      <c r="W34" s="222"/>
      <c r="X34" s="222"/>
      <c r="Y34" s="222"/>
    </row>
    <row r="35" spans="2:25" x14ac:dyDescent="0.25">
      <c r="B35" s="222"/>
      <c r="C35" s="222"/>
      <c r="D35" s="222"/>
      <c r="E35" s="222"/>
      <c r="F35" s="222"/>
      <c r="G35" s="222"/>
      <c r="H35" s="222"/>
      <c r="I35" s="222"/>
      <c r="J35" s="222"/>
      <c r="K35" s="222"/>
      <c r="L35" s="222"/>
      <c r="M35" s="222"/>
      <c r="N35" s="222"/>
      <c r="O35" s="222"/>
      <c r="P35" s="222"/>
      <c r="Q35" s="222"/>
      <c r="R35" s="222"/>
      <c r="S35" s="222"/>
      <c r="T35" s="222"/>
      <c r="U35" s="222"/>
      <c r="V35" s="222"/>
      <c r="W35" s="222"/>
      <c r="X35" s="222"/>
      <c r="Y35" s="222"/>
    </row>
    <row r="36" spans="2:25" x14ac:dyDescent="0.25">
      <c r="B36" s="222"/>
      <c r="C36" s="222"/>
      <c r="D36" s="222"/>
      <c r="E36" s="222"/>
      <c r="F36" s="222"/>
      <c r="G36" s="222"/>
      <c r="H36" s="222"/>
      <c r="I36" s="222"/>
      <c r="J36" s="222"/>
      <c r="K36" s="222"/>
      <c r="L36" s="222"/>
      <c r="M36" s="222"/>
      <c r="N36" s="222"/>
      <c r="O36" s="222"/>
      <c r="P36" s="222"/>
      <c r="Q36" s="222"/>
      <c r="R36" s="222"/>
      <c r="S36" s="222"/>
      <c r="T36" s="222"/>
      <c r="U36" s="222"/>
      <c r="V36" s="222"/>
      <c r="W36" s="222"/>
      <c r="X36" s="222"/>
      <c r="Y36" s="222"/>
    </row>
    <row r="37" spans="2:25" x14ac:dyDescent="0.25">
      <c r="B37" s="222"/>
      <c r="C37" s="222"/>
      <c r="D37" s="222"/>
      <c r="E37" s="222"/>
      <c r="F37" s="222"/>
      <c r="G37" s="222"/>
      <c r="H37" s="222"/>
      <c r="I37" s="222"/>
      <c r="J37" s="222"/>
      <c r="K37" s="222"/>
      <c r="L37" s="222"/>
      <c r="M37" s="222"/>
      <c r="N37" s="222"/>
      <c r="O37" s="222"/>
      <c r="P37" s="222"/>
      <c r="Q37" s="222"/>
      <c r="R37" s="222"/>
      <c r="S37" s="222"/>
      <c r="T37" s="222"/>
      <c r="U37" s="222"/>
      <c r="V37" s="222"/>
      <c r="W37" s="222"/>
      <c r="X37" s="222"/>
      <c r="Y37" s="222"/>
    </row>
    <row r="38" spans="2:25" x14ac:dyDescent="0.25">
      <c r="B38" s="222"/>
      <c r="C38" s="222"/>
      <c r="D38" s="222"/>
      <c r="E38" s="222"/>
      <c r="F38" s="222"/>
      <c r="G38" s="222"/>
      <c r="H38" s="222"/>
      <c r="I38" s="222"/>
      <c r="J38" s="222"/>
      <c r="K38" s="222"/>
      <c r="L38" s="222"/>
      <c r="M38" s="222"/>
      <c r="N38" s="222"/>
      <c r="O38" s="222"/>
      <c r="P38" s="222"/>
      <c r="Q38" s="222"/>
      <c r="R38" s="222"/>
      <c r="S38" s="222"/>
      <c r="T38" s="222"/>
      <c r="U38" s="222"/>
      <c r="V38" s="222"/>
      <c r="W38" s="222"/>
      <c r="X38" s="222"/>
      <c r="Y38" s="222"/>
    </row>
    <row r="39" spans="2:25" x14ac:dyDescent="0.25">
      <c r="B39" s="222"/>
      <c r="C39" s="222"/>
      <c r="D39" s="222"/>
      <c r="E39" s="222"/>
      <c r="F39" s="222"/>
      <c r="G39" s="222"/>
      <c r="H39" s="222"/>
      <c r="I39" s="222"/>
      <c r="J39" s="222"/>
      <c r="K39" s="222"/>
      <c r="L39" s="222"/>
      <c r="M39" s="222"/>
      <c r="N39" s="222"/>
      <c r="O39" s="222"/>
      <c r="P39" s="222"/>
      <c r="Q39" s="222"/>
      <c r="R39" s="222"/>
      <c r="S39" s="222"/>
      <c r="T39" s="222"/>
      <c r="U39" s="222"/>
      <c r="V39" s="222"/>
      <c r="W39" s="222"/>
      <c r="X39" s="222"/>
      <c r="Y39" s="222"/>
    </row>
    <row r="40" spans="2:25" x14ac:dyDescent="0.25">
      <c r="B40" s="222"/>
      <c r="C40" s="222"/>
      <c r="D40" s="222"/>
      <c r="E40" s="222"/>
      <c r="F40" s="222"/>
      <c r="G40" s="222"/>
      <c r="H40" s="222"/>
      <c r="I40" s="222"/>
      <c r="J40" s="222"/>
      <c r="K40" s="222"/>
      <c r="L40" s="222"/>
      <c r="M40" s="222"/>
      <c r="N40" s="222"/>
      <c r="O40" s="222"/>
      <c r="P40" s="222"/>
      <c r="Q40" s="222"/>
      <c r="R40" s="222"/>
      <c r="S40" s="222"/>
      <c r="T40" s="222"/>
      <c r="U40" s="222"/>
      <c r="V40" s="222"/>
      <c r="W40" s="222"/>
      <c r="X40" s="222"/>
      <c r="Y40" s="222"/>
    </row>
    <row r="41" spans="2:25" x14ac:dyDescent="0.25">
      <c r="B41" s="222"/>
      <c r="C41" s="222"/>
      <c r="D41" s="222"/>
      <c r="E41" s="222"/>
      <c r="F41" s="222"/>
      <c r="G41" s="222"/>
      <c r="H41" s="222"/>
      <c r="I41" s="222"/>
      <c r="J41" s="222"/>
      <c r="K41" s="222"/>
      <c r="L41" s="222"/>
      <c r="M41" s="222"/>
      <c r="N41" s="222"/>
      <c r="O41" s="222"/>
      <c r="P41" s="222"/>
      <c r="Q41" s="222"/>
      <c r="R41" s="222"/>
      <c r="S41" s="222"/>
      <c r="T41" s="222"/>
      <c r="U41" s="222"/>
      <c r="V41" s="222"/>
      <c r="W41" s="222"/>
      <c r="X41" s="222"/>
      <c r="Y41" s="222"/>
    </row>
    <row r="42" spans="2:25" x14ac:dyDescent="0.25">
      <c r="B42" s="222"/>
      <c r="C42" s="222"/>
      <c r="D42" s="222"/>
      <c r="E42" s="222"/>
      <c r="F42" s="222"/>
      <c r="G42" s="222"/>
      <c r="H42" s="222"/>
      <c r="I42" s="222"/>
      <c r="J42" s="222"/>
      <c r="K42" s="222"/>
      <c r="L42" s="222"/>
      <c r="M42" s="222"/>
      <c r="N42" s="222"/>
      <c r="O42" s="222"/>
      <c r="P42" s="222"/>
      <c r="Q42" s="222"/>
      <c r="R42" s="222"/>
      <c r="S42" s="222"/>
      <c r="T42" s="222"/>
      <c r="U42" s="222"/>
      <c r="V42" s="222"/>
      <c r="W42" s="222"/>
      <c r="X42" s="222"/>
      <c r="Y42" s="222"/>
    </row>
    <row r="43" spans="2:25" x14ac:dyDescent="0.25">
      <c r="B43" s="222"/>
      <c r="C43" s="222"/>
      <c r="D43" s="222"/>
      <c r="E43" s="222"/>
      <c r="F43" s="222"/>
      <c r="G43" s="222"/>
      <c r="H43" s="222"/>
      <c r="I43" s="222"/>
      <c r="J43" s="222"/>
      <c r="K43" s="222"/>
      <c r="L43" s="222"/>
      <c r="M43" s="222"/>
      <c r="N43" s="222"/>
      <c r="O43" s="222"/>
      <c r="P43" s="222"/>
      <c r="Q43" s="222"/>
      <c r="R43" s="222"/>
      <c r="S43" s="222"/>
      <c r="T43" s="222"/>
      <c r="U43" s="222"/>
      <c r="V43" s="222"/>
      <c r="W43" s="222"/>
      <c r="X43" s="222"/>
      <c r="Y43" s="222"/>
    </row>
    <row r="44" spans="2:25" x14ac:dyDescent="0.25">
      <c r="B44" s="222"/>
      <c r="C44" s="222"/>
      <c r="D44" s="222"/>
      <c r="E44" s="222"/>
      <c r="F44" s="222"/>
      <c r="G44" s="222"/>
      <c r="H44" s="222"/>
      <c r="I44" s="222"/>
      <c r="J44" s="222"/>
      <c r="K44" s="222"/>
      <c r="L44" s="222"/>
      <c r="M44" s="222"/>
      <c r="N44" s="222"/>
      <c r="O44" s="222"/>
      <c r="P44" s="222"/>
      <c r="Q44" s="222"/>
      <c r="R44" s="222"/>
      <c r="S44" s="222"/>
      <c r="T44" s="222"/>
      <c r="U44" s="222"/>
      <c r="V44" s="222"/>
      <c r="W44" s="222"/>
      <c r="X44" s="222"/>
      <c r="Y44" s="222"/>
    </row>
    <row r="45" spans="2:25" x14ac:dyDescent="0.25">
      <c r="B45" s="222"/>
      <c r="C45" s="222"/>
      <c r="D45" s="222"/>
      <c r="E45" s="222"/>
      <c r="F45" s="222"/>
      <c r="G45" s="222"/>
      <c r="H45" s="222"/>
      <c r="I45" s="222"/>
      <c r="J45" s="222"/>
      <c r="K45" s="222"/>
      <c r="L45" s="222"/>
      <c r="M45" s="222"/>
      <c r="N45" s="222"/>
      <c r="O45" s="222"/>
      <c r="P45" s="222"/>
      <c r="Q45" s="222"/>
      <c r="R45" s="222"/>
      <c r="S45" s="222"/>
      <c r="T45" s="222"/>
      <c r="U45" s="222"/>
      <c r="V45" s="222"/>
      <c r="W45" s="222"/>
      <c r="X45" s="222"/>
      <c r="Y45" s="222"/>
    </row>
    <row r="46" spans="2:25" x14ac:dyDescent="0.25">
      <c r="B46" s="222"/>
      <c r="C46" s="222"/>
      <c r="D46" s="222"/>
      <c r="E46" s="222"/>
      <c r="F46" s="222"/>
      <c r="G46" s="222"/>
      <c r="H46" s="222"/>
      <c r="I46" s="222"/>
      <c r="J46" s="222"/>
      <c r="K46" s="222"/>
      <c r="L46" s="222"/>
      <c r="M46" s="222"/>
      <c r="N46" s="222"/>
      <c r="O46" s="222"/>
      <c r="P46" s="222"/>
      <c r="Q46" s="222"/>
      <c r="R46" s="222"/>
      <c r="S46" s="222"/>
      <c r="T46" s="222"/>
      <c r="U46" s="222"/>
      <c r="V46" s="222"/>
      <c r="W46" s="222"/>
      <c r="X46" s="222"/>
      <c r="Y46" s="222"/>
    </row>
    <row r="47" spans="2:25" x14ac:dyDescent="0.25">
      <c r="B47" s="222"/>
      <c r="C47" s="222"/>
      <c r="D47" s="222"/>
      <c r="E47" s="222"/>
      <c r="F47" s="222"/>
      <c r="G47" s="222"/>
      <c r="H47" s="222"/>
      <c r="I47" s="222"/>
      <c r="J47" s="222"/>
      <c r="K47" s="222"/>
      <c r="L47" s="222"/>
      <c r="M47" s="222"/>
      <c r="N47" s="222"/>
      <c r="O47" s="222"/>
      <c r="P47" s="222"/>
      <c r="Q47" s="222"/>
      <c r="R47" s="222"/>
      <c r="S47" s="222"/>
      <c r="T47" s="222"/>
      <c r="U47" s="222"/>
      <c r="V47" s="222"/>
      <c r="W47" s="222"/>
      <c r="X47" s="222"/>
      <c r="Y47" s="222"/>
    </row>
    <row r="48" spans="2:25" x14ac:dyDescent="0.25">
      <c r="B48" s="222"/>
      <c r="C48" s="222"/>
      <c r="D48" s="222"/>
      <c r="E48" s="222"/>
      <c r="F48" s="222"/>
      <c r="G48" s="222"/>
      <c r="H48" s="222"/>
      <c r="I48" s="222"/>
      <c r="J48" s="222"/>
      <c r="K48" s="222"/>
      <c r="L48" s="222"/>
      <c r="M48" s="222"/>
      <c r="N48" s="222"/>
      <c r="O48" s="222"/>
      <c r="P48" s="222"/>
      <c r="Q48" s="222"/>
      <c r="R48" s="222"/>
      <c r="S48" s="222"/>
      <c r="T48" s="222"/>
      <c r="U48" s="222"/>
      <c r="V48" s="222"/>
      <c r="W48" s="222"/>
      <c r="X48" s="222"/>
      <c r="Y48" s="222"/>
    </row>
    <row r="49" spans="2:25" x14ac:dyDescent="0.25">
      <c r="B49" s="222"/>
      <c r="C49" s="222"/>
      <c r="D49" s="222"/>
      <c r="E49" s="222"/>
      <c r="F49" s="222"/>
      <c r="G49" s="222"/>
      <c r="H49" s="222"/>
      <c r="I49" s="222"/>
      <c r="J49" s="222"/>
      <c r="K49" s="222"/>
      <c r="L49" s="222"/>
      <c r="M49" s="222"/>
      <c r="N49" s="222"/>
      <c r="O49" s="222"/>
      <c r="P49" s="222"/>
      <c r="Q49" s="222"/>
      <c r="R49" s="222"/>
      <c r="S49" s="222"/>
      <c r="T49" s="222"/>
      <c r="U49" s="222"/>
      <c r="V49" s="222"/>
      <c r="W49" s="222"/>
      <c r="X49" s="222"/>
      <c r="Y49" s="222"/>
    </row>
    <row r="50" spans="2:25" x14ac:dyDescent="0.25">
      <c r="B50" s="222"/>
      <c r="C50" s="222"/>
      <c r="D50" s="222"/>
      <c r="E50" s="222"/>
      <c r="F50" s="222"/>
      <c r="G50" s="222"/>
      <c r="H50" s="222"/>
      <c r="I50" s="222"/>
      <c r="J50" s="222"/>
      <c r="K50" s="222"/>
      <c r="L50" s="222"/>
      <c r="M50" s="222"/>
      <c r="N50" s="222"/>
      <c r="O50" s="222"/>
      <c r="P50" s="222"/>
      <c r="Q50" s="222"/>
      <c r="R50" s="222"/>
      <c r="S50" s="222"/>
      <c r="T50" s="222"/>
      <c r="U50" s="222"/>
      <c r="V50" s="222"/>
      <c r="W50" s="222"/>
      <c r="X50" s="222"/>
      <c r="Y50" s="222"/>
    </row>
    <row r="51" spans="2:25" x14ac:dyDescent="0.25">
      <c r="B51" s="222"/>
      <c r="C51" s="222"/>
      <c r="D51" s="222"/>
      <c r="E51" s="222"/>
      <c r="F51" s="222"/>
      <c r="G51" s="222"/>
      <c r="H51" s="222"/>
      <c r="I51" s="222"/>
      <c r="J51" s="222"/>
      <c r="K51" s="222"/>
      <c r="L51" s="222"/>
      <c r="M51" s="222"/>
      <c r="N51" s="222"/>
      <c r="O51" s="222"/>
      <c r="P51" s="222"/>
      <c r="Q51" s="222"/>
      <c r="R51" s="222"/>
      <c r="S51" s="222"/>
      <c r="T51" s="222"/>
      <c r="U51" s="222"/>
      <c r="V51" s="222"/>
      <c r="W51" s="222"/>
      <c r="X51" s="222"/>
      <c r="Y51" s="222"/>
    </row>
    <row r="52" spans="2:25" x14ac:dyDescent="0.25">
      <c r="B52" s="222"/>
      <c r="C52" s="222"/>
      <c r="D52" s="222"/>
      <c r="E52" s="222"/>
      <c r="F52" s="222"/>
      <c r="G52" s="222"/>
      <c r="H52" s="222"/>
      <c r="I52" s="222"/>
      <c r="J52" s="222"/>
      <c r="K52" s="222"/>
      <c r="L52" s="222"/>
      <c r="M52" s="222"/>
      <c r="N52" s="222"/>
      <c r="O52" s="222"/>
      <c r="P52" s="222"/>
      <c r="Q52" s="222"/>
      <c r="R52" s="222"/>
      <c r="S52" s="222"/>
      <c r="T52" s="222"/>
      <c r="U52" s="222"/>
      <c r="V52" s="222"/>
      <c r="W52" s="222"/>
      <c r="X52" s="222"/>
      <c r="Y52" s="222"/>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2" activePane="bottomLeft" state="frozen"/>
      <selection pane="bottomLeft" activeCell="C4" sqref="C4"/>
    </sheetView>
  </sheetViews>
  <sheetFormatPr defaultColWidth="10.8554687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0"/>
      <c r="F1" s="30"/>
    </row>
    <row r="2" spans="1:6" ht="16.5" customHeight="1" x14ac:dyDescent="0.25">
      <c r="A2" s="1319" t="s">
        <v>37</v>
      </c>
      <c r="B2" s="1320"/>
      <c r="C2" s="1320"/>
      <c r="D2" s="1321"/>
      <c r="E2" s="30"/>
      <c r="F2" s="30"/>
    </row>
    <row r="3" spans="1:6" ht="148.35" customHeight="1" x14ac:dyDescent="0.25">
      <c r="A3" s="19" t="s">
        <v>855</v>
      </c>
      <c r="B3" s="14" t="s">
        <v>854</v>
      </c>
      <c r="C3" s="14" t="s">
        <v>853</v>
      </c>
      <c r="D3" s="23" t="s">
        <v>1938</v>
      </c>
    </row>
    <row r="4" spans="1:6" ht="148.35" customHeight="1" x14ac:dyDescent="0.25">
      <c r="A4" s="19" t="s">
        <v>79</v>
      </c>
      <c r="B4" s="14" t="s">
        <v>40</v>
      </c>
      <c r="C4" s="14" t="s">
        <v>911</v>
      </c>
      <c r="D4" s="23" t="s">
        <v>1938</v>
      </c>
      <c r="E4" s="14"/>
      <c r="F4" s="14"/>
    </row>
    <row r="5" spans="1:6" ht="61.5" customHeight="1" x14ac:dyDescent="0.25">
      <c r="A5" s="19" t="s">
        <v>73</v>
      </c>
      <c r="B5" s="14" t="s">
        <v>74</v>
      </c>
      <c r="C5" s="32" t="s">
        <v>44</v>
      </c>
      <c r="D5" s="23" t="s">
        <v>924</v>
      </c>
    </row>
    <row r="6" spans="1:6" ht="78" customHeight="1" x14ac:dyDescent="0.25">
      <c r="A6" s="19" t="s">
        <v>45</v>
      </c>
      <c r="B6" s="14" t="s">
        <v>46</v>
      </c>
      <c r="C6" s="14" t="s">
        <v>872</v>
      </c>
      <c r="D6" s="23" t="s">
        <v>1939</v>
      </c>
      <c r="E6" s="14"/>
      <c r="F6" s="14"/>
    </row>
    <row r="7" spans="1:6" ht="50.85" customHeight="1" x14ac:dyDescent="0.25">
      <c r="A7" s="19" t="s">
        <v>819</v>
      </c>
      <c r="B7" s="14" t="s">
        <v>829</v>
      </c>
      <c r="C7" s="14" t="s">
        <v>1440</v>
      </c>
      <c r="D7" s="23" t="s">
        <v>924</v>
      </c>
      <c r="E7" s="16"/>
      <c r="F7" s="14"/>
    </row>
    <row r="8" spans="1:6" ht="78.599999999999994" customHeight="1" x14ac:dyDescent="0.25">
      <c r="A8" s="19" t="s">
        <v>75</v>
      </c>
      <c r="B8" s="14" t="s">
        <v>76</v>
      </c>
      <c r="C8" s="14" t="s">
        <v>77</v>
      </c>
      <c r="D8" s="23" t="s">
        <v>924</v>
      </c>
      <c r="E8" s="16"/>
      <c r="F8" s="14"/>
    </row>
    <row r="9" spans="1:6" ht="96.6" customHeight="1" x14ac:dyDescent="0.25">
      <c r="A9" s="19" t="s">
        <v>47</v>
      </c>
      <c r="B9" s="14" t="s">
        <v>48</v>
      </c>
      <c r="C9" s="14" t="s">
        <v>846</v>
      </c>
      <c r="D9" s="23" t="s">
        <v>924</v>
      </c>
      <c r="E9" s="16"/>
      <c r="F9" s="14"/>
    </row>
    <row r="10" spans="1:6" ht="22.5" customHeight="1" x14ac:dyDescent="0.25">
      <c r="A10" s="1319" t="s">
        <v>847</v>
      </c>
      <c r="B10" s="1320"/>
      <c r="C10" s="1320"/>
      <c r="D10" s="1321"/>
      <c r="E10" s="16"/>
      <c r="F10" s="14"/>
    </row>
    <row r="11" spans="1:6" ht="22.5" customHeight="1" x14ac:dyDescent="0.25">
      <c r="A11" s="20" t="s">
        <v>75</v>
      </c>
      <c r="B11" s="1332" t="s">
        <v>857</v>
      </c>
      <c r="C11" s="1333"/>
      <c r="D11" s="31"/>
      <c r="E11" s="16"/>
      <c r="F11" s="14"/>
    </row>
    <row r="12" spans="1:6" ht="33" customHeight="1" x14ac:dyDescent="0.25">
      <c r="A12" s="20" t="s">
        <v>856</v>
      </c>
      <c r="B12" s="1325" t="s">
        <v>858</v>
      </c>
      <c r="C12" s="1325"/>
      <c r="D12" s="23"/>
      <c r="E12" s="14"/>
      <c r="F12" s="14"/>
    </row>
    <row r="13" spans="1:6" ht="39.6" customHeight="1" x14ac:dyDescent="0.25">
      <c r="A13" s="18" t="s">
        <v>848</v>
      </c>
      <c r="B13" s="1325" t="s">
        <v>859</v>
      </c>
      <c r="C13" s="1325"/>
      <c r="D13" s="23"/>
    </row>
    <row r="14" spans="1:6" ht="38.85" customHeight="1" x14ac:dyDescent="0.25">
      <c r="A14" s="18" t="s">
        <v>850</v>
      </c>
      <c r="B14" s="1325" t="s">
        <v>851</v>
      </c>
      <c r="C14" s="1325"/>
      <c r="D14" s="23"/>
    </row>
    <row r="15" spans="1:6" ht="20.100000000000001" customHeight="1" x14ac:dyDescent="0.25">
      <c r="A15" s="1322" t="s">
        <v>59</v>
      </c>
      <c r="B15" s="1323"/>
      <c r="C15" s="1323"/>
      <c r="D15" s="1324"/>
    </row>
    <row r="16" spans="1:6" ht="24.6" customHeight="1" x14ac:dyDescent="0.25">
      <c r="A16" s="1326" t="s">
        <v>827</v>
      </c>
      <c r="B16" s="1327"/>
      <c r="C16" s="1328"/>
      <c r="D16" s="23"/>
    </row>
    <row r="17" spans="1:7" ht="101.85" customHeight="1" x14ac:dyDescent="0.25">
      <c r="A17" s="18" t="s">
        <v>60</v>
      </c>
      <c r="B17" s="33" t="s">
        <v>873</v>
      </c>
      <c r="C17" s="33" t="s">
        <v>880</v>
      </c>
      <c r="D17" s="34"/>
      <c r="E17" s="33"/>
      <c r="F17" s="33"/>
      <c r="G17" s="33"/>
    </row>
    <row r="18" spans="1:7" ht="101.1" customHeight="1" x14ac:dyDescent="0.25">
      <c r="A18" s="18" t="s">
        <v>61</v>
      </c>
      <c r="B18" s="33" t="s">
        <v>874</v>
      </c>
      <c r="C18" s="33" t="s">
        <v>875</v>
      </c>
      <c r="D18" s="34"/>
      <c r="E18" s="33"/>
      <c r="F18" s="33"/>
      <c r="G18" s="33"/>
    </row>
    <row r="19" spans="1:7" ht="57.6" customHeight="1" x14ac:dyDescent="0.25">
      <c r="A19" s="18" t="s">
        <v>876</v>
      </c>
      <c r="B19" s="33" t="s">
        <v>877</v>
      </c>
      <c r="C19" s="33" t="s">
        <v>878</v>
      </c>
      <c r="D19" s="34"/>
      <c r="E19" s="33"/>
      <c r="F19" s="33"/>
      <c r="G19" s="33"/>
    </row>
    <row r="20" spans="1:7" ht="37.5" customHeight="1" x14ac:dyDescent="0.25">
      <c r="A20" s="1329" t="s">
        <v>826</v>
      </c>
      <c r="B20" s="1330"/>
      <c r="C20" s="1331"/>
      <c r="D20" s="23"/>
    </row>
    <row r="21" spans="1:7" x14ac:dyDescent="0.25">
      <c r="A21" s="1322" t="s">
        <v>62</v>
      </c>
      <c r="B21" s="1323"/>
      <c r="C21" s="1323"/>
      <c r="D21" s="1324"/>
    </row>
    <row r="22" spans="1:7" ht="29.1" customHeight="1" x14ac:dyDescent="0.25">
      <c r="A22" s="19" t="s">
        <v>63</v>
      </c>
      <c r="B22" s="14" t="s">
        <v>78</v>
      </c>
      <c r="C22" s="14" t="s">
        <v>64</v>
      </c>
      <c r="D22" s="23"/>
    </row>
    <row r="23" spans="1:7" ht="72" customHeight="1" x14ac:dyDescent="0.25">
      <c r="A23" s="19" t="s">
        <v>65</v>
      </c>
      <c r="B23" s="14" t="s">
        <v>66</v>
      </c>
      <c r="C23" s="14" t="s">
        <v>67</v>
      </c>
      <c r="D23" s="23"/>
    </row>
    <row r="24" spans="1:7" ht="29.1" customHeight="1" x14ac:dyDescent="0.25">
      <c r="A24" s="19" t="s">
        <v>68</v>
      </c>
      <c r="B24" s="14" t="s">
        <v>69</v>
      </c>
      <c r="C24" s="14" t="s">
        <v>865</v>
      </c>
      <c r="D24" s="23"/>
    </row>
    <row r="25" spans="1:7" ht="101.1" customHeight="1" x14ac:dyDescent="0.2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61" zoomScale="95" workbookViewId="0">
      <selection activeCell="K19" sqref="K19"/>
    </sheetView>
  </sheetViews>
  <sheetFormatPr defaultColWidth="10.85546875" defaultRowHeight="15" x14ac:dyDescent="0.25"/>
  <cols>
    <col min="1" max="1" width="26.5703125" customWidth="1"/>
  </cols>
  <sheetData>
    <row r="1" spans="1:22" x14ac:dyDescent="0.25">
      <c r="A1" s="753" t="s">
        <v>1867</v>
      </c>
      <c r="B1" s="753"/>
      <c r="C1" s="753"/>
      <c r="D1" s="753"/>
      <c r="E1" s="753"/>
      <c r="F1" s="753"/>
      <c r="G1" s="753"/>
      <c r="H1" s="753"/>
      <c r="I1" s="753"/>
      <c r="J1" s="753"/>
      <c r="K1" s="753"/>
      <c r="L1" s="753"/>
      <c r="M1" s="753"/>
      <c r="N1" s="753"/>
      <c r="O1" s="753"/>
      <c r="P1" s="753"/>
      <c r="Q1" s="753"/>
      <c r="R1" s="753"/>
      <c r="S1" s="753"/>
      <c r="T1" s="753"/>
      <c r="U1" s="753"/>
      <c r="V1" s="753"/>
    </row>
    <row r="2" spans="1:22" x14ac:dyDescent="0.25">
      <c r="A2" s="753" t="s">
        <v>1868</v>
      </c>
      <c r="B2" s="753"/>
      <c r="C2" s="753"/>
      <c r="D2" s="753"/>
      <c r="E2" s="753"/>
      <c r="F2" s="753"/>
      <c r="G2" s="753"/>
      <c r="H2" s="753"/>
      <c r="I2" s="753"/>
      <c r="J2" s="753"/>
      <c r="K2" s="753"/>
      <c r="L2" s="753"/>
      <c r="M2" s="753"/>
      <c r="N2" s="753"/>
      <c r="O2" s="753"/>
      <c r="P2" s="753"/>
      <c r="Q2" s="753"/>
      <c r="R2" s="753"/>
      <c r="S2" s="753"/>
      <c r="T2" s="753"/>
      <c r="U2" s="753"/>
      <c r="V2" s="753"/>
    </row>
    <row r="3" spans="1:22" x14ac:dyDescent="0.25">
      <c r="A3" s="753"/>
      <c r="B3" s="753"/>
      <c r="C3" s="753"/>
      <c r="D3" s="753"/>
      <c r="E3" s="753"/>
      <c r="F3" s="753"/>
      <c r="G3" s="753"/>
      <c r="H3" s="753"/>
      <c r="I3" s="753"/>
      <c r="J3" s="753"/>
      <c r="K3" s="753"/>
      <c r="L3" s="753"/>
      <c r="M3" s="753"/>
      <c r="N3" s="753"/>
      <c r="O3" s="753"/>
      <c r="P3" s="753"/>
      <c r="Q3" s="753"/>
      <c r="R3" s="753"/>
      <c r="S3" s="753"/>
      <c r="T3" s="753"/>
      <c r="U3" s="753"/>
      <c r="V3" s="753"/>
    </row>
    <row r="4" spans="1:22" x14ac:dyDescent="0.25">
      <c r="A4" s="753" t="s">
        <v>1869</v>
      </c>
      <c r="B4" s="753"/>
      <c r="C4" s="753"/>
      <c r="D4" s="753"/>
      <c r="E4" s="753"/>
      <c r="F4" s="753"/>
      <c r="G4" s="753"/>
      <c r="H4" s="753"/>
      <c r="I4" s="753"/>
      <c r="J4" s="753"/>
      <c r="K4" s="753"/>
      <c r="L4" s="753"/>
      <c r="M4" s="753"/>
      <c r="N4" s="753"/>
      <c r="O4" s="753"/>
      <c r="P4" s="753"/>
      <c r="Q4" s="753"/>
      <c r="R4" s="753"/>
      <c r="S4" s="753"/>
      <c r="T4" s="753"/>
      <c r="U4" s="753"/>
      <c r="V4" s="753"/>
    </row>
    <row r="5" spans="1:22" x14ac:dyDescent="0.25">
      <c r="A5" s="753" t="s">
        <v>1870</v>
      </c>
      <c r="B5" s="753" t="s">
        <v>1871</v>
      </c>
      <c r="C5" s="753"/>
      <c r="D5" s="753"/>
      <c r="E5" s="753"/>
      <c r="F5" s="753"/>
      <c r="G5" s="753"/>
      <c r="H5" s="753"/>
      <c r="I5" s="753"/>
      <c r="J5" s="753"/>
      <c r="K5" s="753"/>
      <c r="L5" s="753"/>
      <c r="M5" s="753"/>
      <c r="N5" s="753"/>
      <c r="O5" s="753"/>
      <c r="P5" s="753"/>
      <c r="Q5" s="753"/>
      <c r="R5" s="753"/>
      <c r="S5" s="753"/>
      <c r="T5" s="753"/>
      <c r="U5" s="753"/>
      <c r="V5" s="753"/>
    </row>
    <row r="6" spans="1:22" x14ac:dyDescent="0.25">
      <c r="A6" s="753" t="s">
        <v>1872</v>
      </c>
      <c r="B6" s="753"/>
      <c r="C6" s="753"/>
      <c r="D6" s="753"/>
      <c r="E6" s="753"/>
      <c r="F6" s="753"/>
      <c r="G6" s="753"/>
      <c r="H6" s="753"/>
      <c r="I6" s="753"/>
      <c r="J6" s="753"/>
      <c r="K6" s="753"/>
      <c r="L6" s="753"/>
      <c r="M6" s="753"/>
      <c r="N6" s="753"/>
      <c r="O6" s="753"/>
      <c r="P6" s="753"/>
      <c r="Q6" s="753"/>
      <c r="R6" s="753"/>
      <c r="S6" s="753"/>
      <c r="T6" s="753"/>
      <c r="U6" s="753"/>
      <c r="V6" s="753"/>
    </row>
    <row r="7" spans="1:22" x14ac:dyDescent="0.25">
      <c r="A7" s="753" t="s">
        <v>1873</v>
      </c>
      <c r="B7" s="753"/>
      <c r="C7" s="753"/>
      <c r="D7" s="753"/>
      <c r="E7" s="753"/>
      <c r="F7" s="753"/>
      <c r="G7" s="753"/>
      <c r="H7" s="753"/>
      <c r="I7" s="753"/>
      <c r="J7" s="753"/>
      <c r="K7" s="753"/>
      <c r="L7" s="753"/>
      <c r="M7" s="753"/>
      <c r="N7" s="753"/>
      <c r="O7" s="753"/>
      <c r="P7" s="753"/>
      <c r="Q7" s="753"/>
      <c r="R7" s="753"/>
      <c r="S7" s="753"/>
      <c r="T7" s="753"/>
      <c r="U7" s="753"/>
      <c r="V7" s="753"/>
    </row>
    <row r="8" spans="1:22" x14ac:dyDescent="0.25">
      <c r="A8" s="753"/>
      <c r="B8" s="753"/>
      <c r="C8" s="753"/>
      <c r="D8" s="753"/>
      <c r="E8" s="753"/>
      <c r="F8" s="753"/>
      <c r="G8" s="753"/>
      <c r="H8" s="753"/>
      <c r="I8" s="753"/>
      <c r="J8" s="753"/>
      <c r="K8" s="753"/>
      <c r="L8" s="753"/>
      <c r="M8" s="753"/>
      <c r="N8" s="753"/>
      <c r="O8" s="753"/>
      <c r="P8" s="753"/>
      <c r="Q8" s="753"/>
      <c r="R8" s="753"/>
      <c r="S8" s="753"/>
      <c r="T8" s="753"/>
      <c r="U8" s="753"/>
      <c r="V8" s="753"/>
    </row>
    <row r="9" spans="1:22" x14ac:dyDescent="0.25">
      <c r="A9" s="753"/>
      <c r="B9" s="753"/>
      <c r="C9" s="753"/>
      <c r="D9" s="753"/>
      <c r="E9" s="753"/>
      <c r="F9" s="753"/>
      <c r="G9" s="753"/>
      <c r="H9" s="753"/>
      <c r="I9" s="753"/>
      <c r="J9" s="753"/>
      <c r="K9" s="753"/>
      <c r="L9" s="753"/>
      <c r="M9" s="753"/>
      <c r="N9" s="753"/>
      <c r="O9" s="753"/>
      <c r="P9" s="753"/>
      <c r="Q9" s="753"/>
      <c r="R9" s="753"/>
      <c r="S9" s="753"/>
      <c r="T9" s="753"/>
      <c r="U9" s="753"/>
      <c r="V9" s="753"/>
    </row>
    <row r="10" spans="1:22" x14ac:dyDescent="0.25">
      <c r="A10" s="753"/>
      <c r="B10" s="754" t="s">
        <v>184</v>
      </c>
      <c r="C10" s="754" t="s">
        <v>185</v>
      </c>
      <c r="D10" s="754" t="s">
        <v>186</v>
      </c>
      <c r="E10" s="754" t="s">
        <v>187</v>
      </c>
      <c r="F10" s="754" t="s">
        <v>188</v>
      </c>
      <c r="G10" s="754" t="s">
        <v>189</v>
      </c>
      <c r="H10" s="754" t="s">
        <v>190</v>
      </c>
      <c r="I10" s="754" t="s">
        <v>191</v>
      </c>
      <c r="J10" s="754" t="s">
        <v>175</v>
      </c>
      <c r="K10" s="754" t="s">
        <v>176</v>
      </c>
      <c r="L10" s="754" t="s">
        <v>177</v>
      </c>
      <c r="M10" s="754" t="s">
        <v>768</v>
      </c>
      <c r="N10" s="754" t="s">
        <v>769</v>
      </c>
      <c r="O10" s="754" t="s">
        <v>770</v>
      </c>
      <c r="P10" s="754" t="s">
        <v>1162</v>
      </c>
      <c r="Q10" s="754" t="s">
        <v>1163</v>
      </c>
      <c r="R10" s="754"/>
      <c r="S10" s="754"/>
      <c r="T10" s="754"/>
      <c r="U10" s="754"/>
      <c r="V10" s="753"/>
    </row>
    <row r="11" spans="1:22" x14ac:dyDescent="0.25">
      <c r="A11" s="753"/>
      <c r="B11" s="753"/>
      <c r="C11" s="753"/>
      <c r="D11" s="753"/>
      <c r="E11" s="753"/>
      <c r="F11" s="753"/>
      <c r="G11" s="753"/>
      <c r="H11" s="753"/>
      <c r="I11" s="753"/>
      <c r="J11" s="753"/>
      <c r="K11" s="753"/>
      <c r="L11" s="753"/>
      <c r="M11" s="753"/>
      <c r="N11" s="753"/>
      <c r="O11" s="753"/>
      <c r="P11" s="753"/>
      <c r="Q11" s="753"/>
      <c r="R11" s="753"/>
      <c r="S11" s="753"/>
      <c r="T11" s="753"/>
      <c r="U11" s="753"/>
      <c r="V11" s="753"/>
    </row>
    <row r="12" spans="1:22" x14ac:dyDescent="0.25">
      <c r="A12" s="753" t="s">
        <v>1874</v>
      </c>
      <c r="B12" s="1087">
        <v>9.1428571428571441</v>
      </c>
      <c r="C12" s="1087">
        <v>9.1428571428571441</v>
      </c>
      <c r="D12" s="1087">
        <v>28.342857142857145</v>
      </c>
      <c r="E12" s="1087">
        <v>45.714285714285722</v>
      </c>
      <c r="F12" s="1087">
        <v>77</v>
      </c>
      <c r="G12" s="1087">
        <v>86</v>
      </c>
      <c r="H12" s="1087">
        <v>95</v>
      </c>
      <c r="I12" s="1087">
        <v>91.428571428571445</v>
      </c>
      <c r="J12" s="1087">
        <v>81.676190476190499</v>
      </c>
      <c r="K12" s="1087">
        <v>72.228571428571442</v>
      </c>
      <c r="L12" s="1087">
        <v>59</v>
      </c>
      <c r="M12" s="1087">
        <v>48</v>
      </c>
      <c r="N12" s="1087">
        <v>40</v>
      </c>
      <c r="O12" s="753">
        <v>40</v>
      </c>
      <c r="P12" s="753">
        <v>40</v>
      </c>
      <c r="Q12" s="753">
        <v>40</v>
      </c>
      <c r="R12" s="753"/>
      <c r="S12" s="753"/>
      <c r="T12" s="753"/>
      <c r="U12" s="753"/>
      <c r="V12" s="753"/>
    </row>
    <row r="13" spans="1:22" x14ac:dyDescent="0.25">
      <c r="A13" s="753" t="s">
        <v>1875</v>
      </c>
      <c r="B13" s="755">
        <v>1.2372660206226285</v>
      </c>
      <c r="C13" s="755">
        <f>B13*(1+Deflators!T45)^(1/4)</f>
        <v>1.2498921560539855</v>
      </c>
      <c r="D13" s="755">
        <f>C13*(1+Deflators!U45)^(1/4)</f>
        <v>1.2627087947860671</v>
      </c>
      <c r="E13" s="755">
        <f>D13*(1+Deflators!V45)^(1/4)</f>
        <v>1.2704876795656541</v>
      </c>
      <c r="F13" s="755">
        <f>E13*(1+Deflators!W45)^(1/4)</f>
        <v>1.2786369874299834</v>
      </c>
      <c r="G13" s="755">
        <f>F13*(1+Deflators!X45)^(1/4)</f>
        <v>1.2843203359016002</v>
      </c>
      <c r="H13" s="755">
        <f>G13*(1+Deflators!Y45)^(1/4)</f>
        <v>1.2938551610305316</v>
      </c>
      <c r="I13" s="755">
        <f>H13*(1+Deflators!Z45)^(1/4)</f>
        <v>1.3025844903603787</v>
      </c>
      <c r="J13" s="755">
        <f>I13*(1+Deflators!AA45)^(1/4)</f>
        <v>1.310376359011153</v>
      </c>
      <c r="K13" s="755">
        <f>J13*(1+Deflators!AB45)^(1/4)</f>
        <v>1.3175325685827313</v>
      </c>
      <c r="L13" s="755">
        <f>K13*(1+Deflators!AC45)^(1/4)</f>
        <v>1.3248562875668699</v>
      </c>
      <c r="M13" s="755">
        <f>L13*(1+Deflators!AD45)^(1/4)</f>
        <v>1.3321469127397523</v>
      </c>
      <c r="N13" s="755">
        <f>M13*(1+Deflators!AE45)^(1/4)</f>
        <v>1.3393937192778815</v>
      </c>
      <c r="O13" s="755">
        <f>N13*(1+Deflators!AF45)^(1/4)</f>
        <v>1.3465480970832528</v>
      </c>
      <c r="P13" s="1079">
        <v>0</v>
      </c>
      <c r="Q13" s="1079">
        <v>0</v>
      </c>
      <c r="V13" s="753"/>
    </row>
    <row r="14" spans="1:22" x14ac:dyDescent="0.25">
      <c r="A14" s="753" t="s">
        <v>1876</v>
      </c>
      <c r="B14" s="753">
        <f>B12*B13</f>
        <v>11.312146474264033</v>
      </c>
      <c r="C14" s="753">
        <f t="shared" ref="C14:Q14" si="0">C12*C13</f>
        <v>11.427585426779297</v>
      </c>
      <c r="D14" s="753">
        <f t="shared" si="0"/>
        <v>35.788774983650818</v>
      </c>
      <c r="E14" s="753">
        <f t="shared" si="0"/>
        <v>58.079436780144199</v>
      </c>
      <c r="F14" s="753">
        <f t="shared" si="0"/>
        <v>98.455048032108721</v>
      </c>
      <c r="G14" s="753">
        <f t="shared" si="0"/>
        <v>110.45154888753761</v>
      </c>
      <c r="H14" s="753">
        <f t="shared" si="0"/>
        <v>122.9162402979005</v>
      </c>
      <c r="I14" s="753">
        <f t="shared" si="0"/>
        <v>119.09343911866321</v>
      </c>
      <c r="J14" s="753">
        <f t="shared" si="0"/>
        <v>107.02654909409192</v>
      </c>
      <c r="K14" s="753">
        <f t="shared" si="0"/>
        <v>95.163495239347014</v>
      </c>
      <c r="L14" s="753">
        <f t="shared" si="0"/>
        <v>78.166520966445319</v>
      </c>
      <c r="M14" s="753">
        <f t="shared" si="0"/>
        <v>63.943051811508113</v>
      </c>
      <c r="N14" s="753">
        <f t="shared" si="0"/>
        <v>53.575748771115258</v>
      </c>
      <c r="O14" s="753">
        <f t="shared" si="0"/>
        <v>53.861923883330114</v>
      </c>
      <c r="P14" s="753">
        <f t="shared" si="0"/>
        <v>0</v>
      </c>
      <c r="Q14" s="753">
        <f t="shared" si="0"/>
        <v>0</v>
      </c>
      <c r="R14" s="753"/>
      <c r="S14" s="753"/>
      <c r="T14" s="753"/>
      <c r="U14" s="753"/>
      <c r="V14" s="753"/>
    </row>
    <row r="15" spans="1:22" x14ac:dyDescent="0.25">
      <c r="A15" s="753"/>
      <c r="B15" s="753"/>
      <c r="C15" s="753"/>
      <c r="D15" s="753"/>
      <c r="E15" s="753"/>
      <c r="F15" s="753"/>
      <c r="G15" s="753"/>
      <c r="H15" s="753"/>
      <c r="I15" s="753"/>
      <c r="J15" s="753"/>
      <c r="K15" s="753"/>
      <c r="L15" s="753"/>
      <c r="M15" s="753"/>
      <c r="N15" s="753"/>
      <c r="O15" s="753"/>
      <c r="P15" s="753"/>
      <c r="Q15" s="753"/>
      <c r="R15" s="753"/>
      <c r="S15" s="753"/>
      <c r="T15" s="753"/>
      <c r="U15" s="753"/>
      <c r="V15" s="753"/>
    </row>
    <row r="16" spans="1:22" x14ac:dyDescent="0.25">
      <c r="A16" t="s">
        <v>1867</v>
      </c>
      <c r="B16" s="753"/>
      <c r="C16" s="753"/>
      <c r="D16" s="753"/>
      <c r="E16" s="753"/>
      <c r="F16" s="753"/>
      <c r="G16" s="753"/>
      <c r="H16" s="753"/>
      <c r="I16" s="753"/>
      <c r="J16" s="753"/>
      <c r="K16" s="753"/>
      <c r="L16" s="753"/>
      <c r="M16" s="753"/>
      <c r="N16" s="753"/>
      <c r="O16" s="753"/>
      <c r="P16" s="753"/>
      <c r="Q16" s="753"/>
      <c r="R16" s="753"/>
      <c r="S16" s="753"/>
      <c r="T16" s="753"/>
      <c r="U16" s="753"/>
      <c r="V16" s="753"/>
    </row>
    <row r="17" spans="1:22" x14ac:dyDescent="0.25">
      <c r="A17" t="s">
        <v>1868</v>
      </c>
      <c r="B17" s="753"/>
      <c r="C17" s="753"/>
      <c r="D17" s="753"/>
      <c r="E17" s="753"/>
      <c r="F17" s="753"/>
      <c r="G17" s="753"/>
      <c r="H17" s="753"/>
      <c r="I17" s="753"/>
      <c r="J17" s="753"/>
      <c r="K17" s="753"/>
      <c r="L17" s="753"/>
      <c r="M17" s="753"/>
      <c r="N17" s="753"/>
      <c r="O17" s="753"/>
      <c r="P17" s="753"/>
      <c r="Q17" s="753"/>
      <c r="R17" s="753"/>
      <c r="S17" s="753"/>
      <c r="T17" s="753"/>
      <c r="U17" s="753"/>
      <c r="V17" s="753"/>
    </row>
    <row r="18" spans="1:22" x14ac:dyDescent="0.25">
      <c r="B18" s="753"/>
      <c r="C18" s="753"/>
      <c r="D18" s="753"/>
      <c r="E18" s="753"/>
      <c r="F18" s="753"/>
      <c r="G18" s="753"/>
      <c r="H18" s="753"/>
      <c r="I18" s="753"/>
      <c r="J18" s="753"/>
      <c r="K18" s="753"/>
      <c r="L18" s="753"/>
      <c r="M18" s="753"/>
      <c r="N18" s="753"/>
      <c r="O18" s="753"/>
      <c r="P18" s="753"/>
      <c r="Q18" s="753"/>
      <c r="R18" s="753"/>
      <c r="S18" s="753"/>
      <c r="T18" s="753"/>
      <c r="U18" s="753"/>
      <c r="V18" s="753"/>
    </row>
    <row r="19" spans="1:22" x14ac:dyDescent="0.25">
      <c r="A19" t="s">
        <v>1943</v>
      </c>
      <c r="B19" s="753"/>
      <c r="C19" s="753"/>
      <c r="D19" s="753"/>
      <c r="E19" s="753"/>
      <c r="F19" s="753"/>
      <c r="G19" s="753"/>
      <c r="H19" s="753"/>
      <c r="I19" s="753"/>
      <c r="J19" s="753"/>
      <c r="K19" s="753"/>
      <c r="L19" s="753"/>
      <c r="M19" s="753"/>
      <c r="N19" s="753"/>
      <c r="O19" s="753"/>
      <c r="P19" s="753"/>
      <c r="Q19" s="753"/>
      <c r="R19" s="753"/>
      <c r="S19" s="753"/>
      <c r="T19" s="753"/>
      <c r="U19" s="753"/>
      <c r="V19" s="753"/>
    </row>
    <row r="20" spans="1:22" x14ac:dyDescent="0.25">
      <c r="A20" t="s">
        <v>1870</v>
      </c>
      <c r="B20" s="753"/>
      <c r="C20" s="753"/>
      <c r="D20" s="753"/>
      <c r="E20" s="753"/>
      <c r="F20" s="753"/>
      <c r="G20" s="753"/>
      <c r="H20" s="753"/>
      <c r="I20" s="753"/>
      <c r="J20" s="753"/>
      <c r="K20" s="753"/>
      <c r="L20" s="753"/>
      <c r="M20" s="753"/>
      <c r="N20" s="753"/>
      <c r="O20" s="753"/>
      <c r="P20" s="753"/>
      <c r="Q20" s="753"/>
      <c r="R20" s="753"/>
      <c r="S20" s="753"/>
      <c r="T20" s="753"/>
      <c r="U20" s="753"/>
      <c r="V20" s="753"/>
    </row>
    <row r="21" spans="1:22" x14ac:dyDescent="0.25">
      <c r="A21" t="s">
        <v>1872</v>
      </c>
      <c r="B21" s="753"/>
      <c r="C21" s="753"/>
      <c r="D21" s="753"/>
      <c r="E21" s="753"/>
      <c r="F21" s="753"/>
      <c r="G21" s="753"/>
      <c r="H21" s="753"/>
      <c r="I21" s="753"/>
      <c r="J21" s="753"/>
      <c r="K21" s="753"/>
      <c r="L21" s="753"/>
      <c r="M21" s="753"/>
      <c r="N21" s="753"/>
      <c r="O21" s="753"/>
      <c r="P21" s="753"/>
      <c r="Q21" s="753"/>
      <c r="R21" s="753"/>
      <c r="S21" s="753"/>
      <c r="T21" s="753"/>
      <c r="U21" s="753"/>
      <c r="V21" s="753"/>
    </row>
    <row r="22" spans="1:22" x14ac:dyDescent="0.25">
      <c r="A22" t="s">
        <v>1873</v>
      </c>
      <c r="B22" s="753"/>
      <c r="C22" s="753"/>
      <c r="D22" s="753"/>
      <c r="E22" s="753"/>
      <c r="F22" s="753"/>
      <c r="G22" s="753"/>
      <c r="H22" s="753"/>
      <c r="I22" s="753"/>
      <c r="J22" s="753"/>
      <c r="K22" s="753"/>
      <c r="L22" s="753"/>
      <c r="M22" s="753"/>
      <c r="N22" s="753"/>
      <c r="O22" s="753"/>
      <c r="P22" s="753"/>
      <c r="Q22" s="753"/>
      <c r="R22" s="753"/>
      <c r="S22" s="753"/>
      <c r="T22" s="753"/>
      <c r="U22" s="753"/>
      <c r="V22" s="753"/>
    </row>
    <row r="23" spans="1:22" x14ac:dyDescent="0.25">
      <c r="B23" s="1502" t="s">
        <v>1877</v>
      </c>
      <c r="C23" s="1502"/>
      <c r="D23" s="1502"/>
      <c r="L23" s="753"/>
      <c r="M23" s="753"/>
      <c r="N23" s="753"/>
      <c r="O23" s="753"/>
      <c r="P23" s="753"/>
      <c r="Q23" s="753"/>
      <c r="R23" s="753"/>
      <c r="S23" s="753"/>
      <c r="T23" s="753"/>
      <c r="U23" s="753"/>
      <c r="V23" s="753"/>
    </row>
    <row r="24" spans="1:22" x14ac:dyDescent="0.25">
      <c r="L24" s="753"/>
      <c r="M24" s="753"/>
      <c r="N24" s="753"/>
      <c r="O24" s="753"/>
      <c r="P24" s="753"/>
      <c r="Q24" s="753"/>
      <c r="R24" s="753"/>
      <c r="S24" s="753"/>
      <c r="T24" s="753"/>
      <c r="U24" s="753"/>
      <c r="V24" s="753"/>
    </row>
    <row r="25" spans="1:22" ht="57.95" customHeight="1" x14ac:dyDescent="0.25">
      <c r="A25" s="1080"/>
      <c r="B25" s="14" t="s">
        <v>1878</v>
      </c>
      <c r="C25" s="14"/>
      <c r="D25" s="14" t="s">
        <v>1879</v>
      </c>
      <c r="F25" s="1081" t="s">
        <v>1880</v>
      </c>
      <c r="G25" s="1082"/>
      <c r="H25" s="1081" t="s">
        <v>1923</v>
      </c>
      <c r="I25" s="1081" t="s">
        <v>1920</v>
      </c>
      <c r="J25" s="1081"/>
      <c r="K25" s="1081"/>
      <c r="L25" s="753"/>
      <c r="M25" s="753"/>
      <c r="N25" s="753"/>
      <c r="O25" s="753"/>
      <c r="P25" s="753"/>
      <c r="Q25" s="753"/>
      <c r="R25" s="753"/>
      <c r="S25" s="753"/>
      <c r="T25" s="753"/>
      <c r="U25" s="753"/>
      <c r="V25" s="753"/>
    </row>
    <row r="26" spans="1:22" ht="57.95" customHeight="1" x14ac:dyDescent="0.25">
      <c r="A26" s="1080" t="s">
        <v>1881</v>
      </c>
      <c r="B26" s="14" t="s">
        <v>1882</v>
      </c>
      <c r="C26" s="14"/>
      <c r="D26" s="1083" t="s">
        <v>1883</v>
      </c>
      <c r="F26" s="1081"/>
      <c r="G26" s="1081"/>
      <c r="H26" s="1081"/>
      <c r="I26" s="1081"/>
      <c r="J26" s="1084" t="s">
        <v>312</v>
      </c>
      <c r="K26" s="1081" t="s">
        <v>1921</v>
      </c>
      <c r="L26" s="753" t="s">
        <v>1884</v>
      </c>
      <c r="M26" s="753"/>
      <c r="N26" s="753"/>
      <c r="O26" s="753"/>
      <c r="P26" s="753"/>
      <c r="Q26" s="753"/>
      <c r="R26" s="753"/>
      <c r="S26" s="753"/>
      <c r="T26" s="753"/>
      <c r="U26" s="753"/>
      <c r="V26" s="753"/>
    </row>
    <row r="27" spans="1:22" x14ac:dyDescent="0.25">
      <c r="A27" s="1085">
        <v>44774</v>
      </c>
      <c r="B27">
        <v>10</v>
      </c>
      <c r="D27">
        <f>B27/1.75</f>
        <v>5.7142857142857144</v>
      </c>
      <c r="F27" s="1086" t="s">
        <v>184</v>
      </c>
      <c r="G27" s="1087">
        <f>AVERAGE(D27:D28)</f>
        <v>5.7142857142857144</v>
      </c>
      <c r="H27" s="1087">
        <f>0.4*G27</f>
        <v>2.285714285714286</v>
      </c>
      <c r="I27" s="1087">
        <f>H27*3</f>
        <v>6.8571428571428577</v>
      </c>
      <c r="J27" s="1087">
        <f t="shared" ref="J27:J46" si="1">H27+I27</f>
        <v>9.1428571428571441</v>
      </c>
      <c r="K27" s="1087">
        <f>J27</f>
        <v>9.1428571428571441</v>
      </c>
      <c r="L27" s="753"/>
      <c r="M27" s="753"/>
      <c r="N27" s="753"/>
      <c r="O27" s="753"/>
      <c r="P27" s="753"/>
      <c r="Q27" s="753"/>
      <c r="R27" s="753"/>
      <c r="S27" s="753"/>
      <c r="T27" s="753"/>
      <c r="U27" s="753"/>
      <c r="V27" s="753"/>
    </row>
    <row r="28" spans="1:22" x14ac:dyDescent="0.25">
      <c r="A28" s="1085">
        <f>A27+31</f>
        <v>44805</v>
      </c>
      <c r="B28">
        <v>10</v>
      </c>
      <c r="D28">
        <f t="shared" ref="D28:D61" si="2">B28/1.75</f>
        <v>5.7142857142857144</v>
      </c>
      <c r="F28" s="1086" t="s">
        <v>185</v>
      </c>
      <c r="G28" s="1087">
        <f>AVERAGE(D29:D31)</f>
        <v>5.7142857142857144</v>
      </c>
      <c r="H28" s="1087">
        <f t="shared" ref="H28:H46" si="3">0.4*G28</f>
        <v>2.285714285714286</v>
      </c>
      <c r="I28" s="1087">
        <f t="shared" ref="I28:I46" si="4">H28*3</f>
        <v>6.8571428571428577</v>
      </c>
      <c r="J28" s="1087">
        <f t="shared" si="1"/>
        <v>9.1428571428571441</v>
      </c>
      <c r="K28" s="1087">
        <f t="shared" ref="K28:K46" si="5">J28</f>
        <v>9.1428571428571441</v>
      </c>
      <c r="L28" s="755">
        <f>J28-J27</f>
        <v>0</v>
      </c>
      <c r="M28" s="755">
        <f>K28-K27</f>
        <v>0</v>
      </c>
      <c r="N28" s="753"/>
      <c r="O28" s="753"/>
      <c r="P28" s="753"/>
      <c r="Q28" s="753"/>
      <c r="R28" s="753"/>
      <c r="S28" s="753"/>
      <c r="T28" s="753"/>
      <c r="U28" s="753"/>
      <c r="V28" s="753"/>
    </row>
    <row r="29" spans="1:22" x14ac:dyDescent="0.25">
      <c r="A29" s="1085">
        <f t="shared" ref="A29:A61" si="6">A28+31</f>
        <v>44836</v>
      </c>
      <c r="B29">
        <v>10</v>
      </c>
      <c r="D29">
        <f t="shared" si="2"/>
        <v>5.7142857142857144</v>
      </c>
      <c r="F29" s="1086" t="s">
        <v>186</v>
      </c>
      <c r="G29" s="1087">
        <f>AVERAGE(D32:D34)</f>
        <v>17.714285714285715</v>
      </c>
      <c r="H29" s="1087">
        <f t="shared" si="3"/>
        <v>7.0857142857142863</v>
      </c>
      <c r="I29" s="1087">
        <f t="shared" si="4"/>
        <v>21.25714285714286</v>
      </c>
      <c r="J29" s="1087">
        <f t="shared" si="1"/>
        <v>28.342857142857145</v>
      </c>
      <c r="K29" s="1087">
        <f t="shared" si="5"/>
        <v>28.342857142857145</v>
      </c>
      <c r="L29" s="755">
        <f t="shared" ref="L29:M47" si="7">J29-J28</f>
        <v>19.200000000000003</v>
      </c>
      <c r="M29" s="755">
        <f t="shared" si="7"/>
        <v>19.200000000000003</v>
      </c>
      <c r="N29" s="753"/>
      <c r="O29" s="753"/>
      <c r="P29" s="753"/>
      <c r="Q29" s="753"/>
      <c r="R29" s="753"/>
      <c r="S29" s="753"/>
      <c r="T29" s="753"/>
      <c r="U29" s="753"/>
      <c r="V29" s="753"/>
    </row>
    <row r="30" spans="1:22" x14ac:dyDescent="0.25">
      <c r="A30" s="1085">
        <f t="shared" si="6"/>
        <v>44867</v>
      </c>
      <c r="B30">
        <v>10</v>
      </c>
      <c r="D30">
        <f t="shared" si="2"/>
        <v>5.7142857142857144</v>
      </c>
      <c r="F30" s="1086" t="s">
        <v>187</v>
      </c>
      <c r="G30" s="1087">
        <f>AVERAGE(D35:D37)</f>
        <v>28.571428571428573</v>
      </c>
      <c r="H30" s="1087">
        <f t="shared" si="3"/>
        <v>11.428571428571431</v>
      </c>
      <c r="I30" s="1087">
        <f t="shared" si="4"/>
        <v>34.285714285714292</v>
      </c>
      <c r="J30" s="1087">
        <f t="shared" si="1"/>
        <v>45.714285714285722</v>
      </c>
      <c r="K30" s="1087">
        <f t="shared" si="5"/>
        <v>45.714285714285722</v>
      </c>
      <c r="L30" s="755">
        <f t="shared" si="7"/>
        <v>17.371428571428577</v>
      </c>
      <c r="M30" s="755">
        <f t="shared" si="7"/>
        <v>17.371428571428577</v>
      </c>
      <c r="N30" s="753"/>
      <c r="O30" s="753"/>
      <c r="P30" s="753"/>
      <c r="Q30" s="753"/>
      <c r="R30" s="753"/>
      <c r="S30" s="753"/>
      <c r="T30" s="753"/>
      <c r="U30" s="753"/>
      <c r="V30" s="753"/>
    </row>
    <row r="31" spans="1:22" x14ac:dyDescent="0.25">
      <c r="A31" s="1085">
        <f t="shared" si="6"/>
        <v>44898</v>
      </c>
      <c r="B31">
        <v>10</v>
      </c>
      <c r="D31">
        <f t="shared" si="2"/>
        <v>5.7142857142857144</v>
      </c>
      <c r="F31" s="1086" t="s">
        <v>188</v>
      </c>
      <c r="G31" s="1087">
        <f>AVERAGE(D38:D40)</f>
        <v>46.666666666666664</v>
      </c>
      <c r="H31" s="1087">
        <f t="shared" si="3"/>
        <v>18.666666666666668</v>
      </c>
      <c r="I31" s="1087">
        <f t="shared" si="4"/>
        <v>56</v>
      </c>
      <c r="J31" s="1087">
        <f t="shared" si="1"/>
        <v>74.666666666666671</v>
      </c>
      <c r="K31" s="1087">
        <v>77</v>
      </c>
      <c r="L31" s="755">
        <f t="shared" si="7"/>
        <v>28.952380952380949</v>
      </c>
      <c r="M31" s="755">
        <f t="shared" si="7"/>
        <v>31.285714285714278</v>
      </c>
      <c r="N31" s="753"/>
      <c r="O31" s="753"/>
      <c r="P31" s="753"/>
      <c r="Q31" s="753"/>
      <c r="R31" s="753"/>
      <c r="S31" s="753"/>
      <c r="T31" s="753"/>
      <c r="U31" s="753"/>
      <c r="V31" s="753"/>
    </row>
    <row r="32" spans="1:22" x14ac:dyDescent="0.25">
      <c r="A32" s="1085">
        <f t="shared" si="6"/>
        <v>44929</v>
      </c>
      <c r="B32">
        <v>25</v>
      </c>
      <c r="D32">
        <f t="shared" si="2"/>
        <v>14.285714285714286</v>
      </c>
      <c r="F32" s="1086" t="s">
        <v>189</v>
      </c>
      <c r="G32" s="1087">
        <f>AVERAGE(D41:D43)</f>
        <v>49.904761904761905</v>
      </c>
      <c r="H32" s="1087">
        <f t="shared" si="3"/>
        <v>19.961904761904762</v>
      </c>
      <c r="I32" s="1087">
        <f t="shared" si="4"/>
        <v>59.885714285714286</v>
      </c>
      <c r="J32" s="1087">
        <f t="shared" si="1"/>
        <v>79.847619047619048</v>
      </c>
      <c r="K32" s="1087">
        <v>86</v>
      </c>
      <c r="L32" s="755">
        <f t="shared" si="7"/>
        <v>5.1809523809523768</v>
      </c>
      <c r="M32" s="755">
        <f t="shared" si="7"/>
        <v>9</v>
      </c>
      <c r="N32" s="753"/>
      <c r="O32" s="753"/>
      <c r="P32" s="753"/>
      <c r="Q32" s="753"/>
      <c r="R32" s="753"/>
      <c r="S32" s="753"/>
      <c r="T32" s="753"/>
      <c r="U32" s="753"/>
      <c r="V32" s="753"/>
    </row>
    <row r="33" spans="1:22" x14ac:dyDescent="0.25">
      <c r="A33" s="1085">
        <f t="shared" si="6"/>
        <v>44960</v>
      </c>
      <c r="B33">
        <v>30</v>
      </c>
      <c r="D33">
        <f t="shared" si="2"/>
        <v>17.142857142857142</v>
      </c>
      <c r="F33" s="1086" t="s">
        <v>190</v>
      </c>
      <c r="G33" s="1087">
        <f>AVERAGE(D44:D46)</f>
        <v>57.142857142857146</v>
      </c>
      <c r="H33" s="1087">
        <f t="shared" si="3"/>
        <v>22.857142857142861</v>
      </c>
      <c r="I33" s="1087">
        <f t="shared" si="4"/>
        <v>68.571428571428584</v>
      </c>
      <c r="J33" s="1087">
        <f t="shared" si="1"/>
        <v>91.428571428571445</v>
      </c>
      <c r="K33" s="1087">
        <v>95</v>
      </c>
      <c r="L33" s="755">
        <f t="shared" si="7"/>
        <v>11.580952380952397</v>
      </c>
      <c r="M33" s="755">
        <f t="shared" si="7"/>
        <v>9</v>
      </c>
      <c r="N33" s="753"/>
      <c r="O33" s="753"/>
      <c r="P33" s="753"/>
      <c r="Q33" s="753"/>
      <c r="R33" s="753"/>
      <c r="S33" s="753"/>
      <c r="T33" s="753"/>
      <c r="U33" s="753"/>
      <c r="V33" s="753"/>
    </row>
    <row r="34" spans="1:22" x14ac:dyDescent="0.25">
      <c r="A34" s="1085">
        <f t="shared" si="6"/>
        <v>44991</v>
      </c>
      <c r="B34">
        <v>38</v>
      </c>
      <c r="D34">
        <f t="shared" si="2"/>
        <v>21.714285714285715</v>
      </c>
      <c r="F34" s="1086" t="s">
        <v>191</v>
      </c>
      <c r="G34" s="1087">
        <f>AVERAGE(D47:D49)</f>
        <v>57.142857142857146</v>
      </c>
      <c r="H34" s="1087">
        <f t="shared" si="3"/>
        <v>22.857142857142861</v>
      </c>
      <c r="I34" s="1087">
        <f t="shared" si="4"/>
        <v>68.571428571428584</v>
      </c>
      <c r="J34" s="1087">
        <f t="shared" si="1"/>
        <v>91.428571428571445</v>
      </c>
      <c r="K34" s="1087">
        <f t="shared" si="5"/>
        <v>91.428571428571445</v>
      </c>
      <c r="L34" s="755">
        <f t="shared" si="7"/>
        <v>0</v>
      </c>
      <c r="M34" s="755">
        <f t="shared" si="7"/>
        <v>-3.5714285714285552</v>
      </c>
      <c r="N34" s="753"/>
      <c r="O34" s="753"/>
      <c r="P34" s="753"/>
      <c r="Q34" s="753"/>
      <c r="R34" s="753"/>
      <c r="S34" s="753"/>
      <c r="T34" s="753"/>
      <c r="U34" s="753"/>
      <c r="V34" s="753"/>
    </row>
    <row r="35" spans="1:22" x14ac:dyDescent="0.25">
      <c r="A35" s="1085">
        <f t="shared" si="6"/>
        <v>45022</v>
      </c>
      <c r="B35">
        <v>40</v>
      </c>
      <c r="D35">
        <f t="shared" si="2"/>
        <v>22.857142857142858</v>
      </c>
      <c r="F35" s="1086" t="s">
        <v>175</v>
      </c>
      <c r="G35" s="1087">
        <f>AVERAGE(D50:D52)</f>
        <v>51.047619047619058</v>
      </c>
      <c r="H35" s="1087">
        <f t="shared" si="3"/>
        <v>20.419047619047625</v>
      </c>
      <c r="I35" s="1087">
        <f t="shared" si="4"/>
        <v>61.257142857142874</v>
      </c>
      <c r="J35" s="1087">
        <f t="shared" si="1"/>
        <v>81.676190476190499</v>
      </c>
      <c r="K35" s="1087">
        <f t="shared" si="5"/>
        <v>81.676190476190499</v>
      </c>
      <c r="L35" s="755">
        <f t="shared" si="7"/>
        <v>-9.7523809523809462</v>
      </c>
      <c r="M35" s="755">
        <f t="shared" si="7"/>
        <v>-9.7523809523809462</v>
      </c>
      <c r="N35" s="753"/>
      <c r="O35" s="753"/>
      <c r="P35" s="753"/>
      <c r="Q35" s="753"/>
      <c r="R35" s="753"/>
      <c r="S35" s="753"/>
      <c r="T35" s="753"/>
      <c r="U35" s="753"/>
      <c r="V35" s="753"/>
    </row>
    <row r="36" spans="1:22" x14ac:dyDescent="0.25">
      <c r="A36" s="1085">
        <f t="shared" si="6"/>
        <v>45053</v>
      </c>
      <c r="B36">
        <v>50</v>
      </c>
      <c r="D36">
        <f t="shared" si="2"/>
        <v>28.571428571428573</v>
      </c>
      <c r="F36" s="1086" t="s">
        <v>176</v>
      </c>
      <c r="G36" s="1087">
        <f>AVERAGE(D53:D55)</f>
        <v>45.142857142857146</v>
      </c>
      <c r="H36" s="1087">
        <f t="shared" si="3"/>
        <v>18.05714285714286</v>
      </c>
      <c r="I36" s="1087">
        <f t="shared" si="4"/>
        <v>54.171428571428578</v>
      </c>
      <c r="J36" s="1087">
        <f t="shared" si="1"/>
        <v>72.228571428571442</v>
      </c>
      <c r="K36" s="1087">
        <f t="shared" si="5"/>
        <v>72.228571428571442</v>
      </c>
      <c r="L36" s="755">
        <f t="shared" si="7"/>
        <v>-9.4476190476190567</v>
      </c>
      <c r="M36" s="755">
        <f t="shared" si="7"/>
        <v>-9.4476190476190567</v>
      </c>
      <c r="N36" s="753"/>
      <c r="O36" s="753"/>
      <c r="P36" s="753"/>
      <c r="Q36" s="753"/>
      <c r="R36" s="753"/>
      <c r="S36" s="753"/>
      <c r="T36" s="753"/>
      <c r="U36" s="753"/>
      <c r="V36" s="753"/>
    </row>
    <row r="37" spans="1:22" x14ac:dyDescent="0.25">
      <c r="A37" s="1085">
        <f t="shared" si="6"/>
        <v>45084</v>
      </c>
      <c r="B37">
        <v>60</v>
      </c>
      <c r="D37">
        <f t="shared" si="2"/>
        <v>34.285714285714285</v>
      </c>
      <c r="F37" s="1086" t="s">
        <v>177</v>
      </c>
      <c r="G37" s="1087">
        <v>35</v>
      </c>
      <c r="H37" s="1087">
        <f t="shared" si="3"/>
        <v>14</v>
      </c>
      <c r="I37" s="1087">
        <f t="shared" si="4"/>
        <v>42</v>
      </c>
      <c r="J37" s="1087">
        <f t="shared" si="1"/>
        <v>56</v>
      </c>
      <c r="K37" s="1087">
        <v>59</v>
      </c>
      <c r="L37" s="755">
        <f t="shared" si="7"/>
        <v>-16.228571428571442</v>
      </c>
      <c r="M37" s="755">
        <f t="shared" si="7"/>
        <v>-13.228571428571442</v>
      </c>
      <c r="N37" s="753"/>
      <c r="O37" s="753"/>
      <c r="P37" s="753"/>
      <c r="Q37" s="753"/>
      <c r="R37" s="753"/>
      <c r="S37" s="753"/>
      <c r="T37" s="753"/>
      <c r="U37" s="753"/>
      <c r="V37" s="753"/>
    </row>
    <row r="38" spans="1:22" x14ac:dyDescent="0.25">
      <c r="A38" s="1085">
        <f t="shared" si="6"/>
        <v>45115</v>
      </c>
      <c r="B38">
        <v>70</v>
      </c>
      <c r="D38">
        <f t="shared" si="2"/>
        <v>40</v>
      </c>
      <c r="F38" s="1086" t="s">
        <v>768</v>
      </c>
      <c r="G38" s="1087">
        <v>30</v>
      </c>
      <c r="H38" s="1087">
        <f t="shared" si="3"/>
        <v>12</v>
      </c>
      <c r="I38" s="1087">
        <f t="shared" si="4"/>
        <v>36</v>
      </c>
      <c r="J38" s="1087">
        <f t="shared" si="1"/>
        <v>48</v>
      </c>
      <c r="K38" s="1087">
        <f t="shared" si="5"/>
        <v>48</v>
      </c>
      <c r="L38" s="755">
        <f t="shared" si="7"/>
        <v>-8</v>
      </c>
      <c r="M38" s="755">
        <f t="shared" si="7"/>
        <v>-11</v>
      </c>
      <c r="N38" s="753"/>
      <c r="O38" s="753"/>
      <c r="P38" s="753"/>
      <c r="Q38" s="753"/>
      <c r="R38" s="753"/>
      <c r="S38" s="753"/>
      <c r="T38" s="753"/>
      <c r="U38" s="753"/>
      <c r="V38" s="753"/>
    </row>
    <row r="39" spans="1:22" x14ac:dyDescent="0.25">
      <c r="A39" s="1085">
        <f t="shared" si="6"/>
        <v>45146</v>
      </c>
      <c r="B39">
        <v>85</v>
      </c>
      <c r="D39">
        <f t="shared" si="2"/>
        <v>48.571428571428569</v>
      </c>
      <c r="F39" s="1086" t="s">
        <v>769</v>
      </c>
      <c r="G39" s="1087">
        <v>25</v>
      </c>
      <c r="H39" s="1087">
        <f t="shared" si="3"/>
        <v>10</v>
      </c>
      <c r="I39" s="1087">
        <f t="shared" si="4"/>
        <v>30</v>
      </c>
      <c r="J39" s="1087">
        <f t="shared" si="1"/>
        <v>40</v>
      </c>
      <c r="K39" s="1087">
        <f t="shared" si="5"/>
        <v>40</v>
      </c>
      <c r="L39" s="755">
        <f t="shared" si="7"/>
        <v>-8</v>
      </c>
      <c r="M39" s="755">
        <f t="shared" si="7"/>
        <v>-8</v>
      </c>
      <c r="N39" s="753"/>
      <c r="O39" s="753"/>
      <c r="P39" s="753"/>
      <c r="Q39" s="753"/>
      <c r="R39" s="753"/>
      <c r="S39" s="753"/>
      <c r="T39" s="753"/>
      <c r="U39" s="753"/>
      <c r="V39" s="753"/>
    </row>
    <row r="40" spans="1:22" x14ac:dyDescent="0.25">
      <c r="A40" s="1085">
        <f t="shared" si="6"/>
        <v>45177</v>
      </c>
      <c r="B40">
        <v>90</v>
      </c>
      <c r="D40">
        <f t="shared" si="2"/>
        <v>51.428571428571431</v>
      </c>
      <c r="F40" s="1086" t="s">
        <v>770</v>
      </c>
      <c r="G40" s="1087">
        <f t="shared" ref="G40:G46" si="8">G39</f>
        <v>25</v>
      </c>
      <c r="H40" s="1087">
        <f t="shared" si="3"/>
        <v>10</v>
      </c>
      <c r="I40" s="1087">
        <f t="shared" si="4"/>
        <v>30</v>
      </c>
      <c r="J40" s="1087">
        <f t="shared" si="1"/>
        <v>40</v>
      </c>
      <c r="K40" s="1087">
        <f t="shared" si="5"/>
        <v>40</v>
      </c>
      <c r="L40" s="755">
        <f t="shared" si="7"/>
        <v>0</v>
      </c>
      <c r="M40" s="755">
        <f t="shared" si="7"/>
        <v>0</v>
      </c>
      <c r="N40" s="753"/>
      <c r="O40" s="753"/>
      <c r="P40" s="753"/>
      <c r="Q40" s="753"/>
      <c r="R40" s="753"/>
      <c r="S40" s="753"/>
      <c r="T40" s="753"/>
      <c r="U40" s="753"/>
      <c r="V40" s="753"/>
    </row>
    <row r="41" spans="1:22" x14ac:dyDescent="0.25">
      <c r="A41" s="1085">
        <f t="shared" si="6"/>
        <v>45208</v>
      </c>
      <c r="B41">
        <v>93</v>
      </c>
      <c r="D41">
        <f t="shared" si="2"/>
        <v>53.142857142857146</v>
      </c>
      <c r="F41" s="1086" t="s">
        <v>1162</v>
      </c>
      <c r="G41" s="1087">
        <f t="shared" si="8"/>
        <v>25</v>
      </c>
      <c r="H41" s="1087">
        <f t="shared" si="3"/>
        <v>10</v>
      </c>
      <c r="I41" s="1087">
        <f t="shared" si="4"/>
        <v>30</v>
      </c>
      <c r="J41" s="1087">
        <f t="shared" si="1"/>
        <v>40</v>
      </c>
      <c r="K41" s="1087">
        <f t="shared" si="5"/>
        <v>40</v>
      </c>
      <c r="L41" s="755">
        <f t="shared" si="7"/>
        <v>0</v>
      </c>
      <c r="M41" s="755">
        <f t="shared" si="7"/>
        <v>0</v>
      </c>
      <c r="N41" s="753"/>
      <c r="O41" s="753"/>
      <c r="P41" s="753"/>
      <c r="Q41" s="753"/>
      <c r="R41" s="753"/>
      <c r="S41" s="753"/>
      <c r="T41" s="753"/>
      <c r="U41" s="753"/>
      <c r="V41" s="753"/>
    </row>
    <row r="42" spans="1:22" x14ac:dyDescent="0.25">
      <c r="A42" s="1085">
        <f t="shared" si="6"/>
        <v>45239</v>
      </c>
      <c r="B42">
        <v>84</v>
      </c>
      <c r="D42">
        <f t="shared" si="2"/>
        <v>48</v>
      </c>
      <c r="F42" s="1086" t="s">
        <v>1163</v>
      </c>
      <c r="G42" s="1087">
        <f t="shared" si="8"/>
        <v>25</v>
      </c>
      <c r="H42" s="1087">
        <f t="shared" si="3"/>
        <v>10</v>
      </c>
      <c r="I42" s="1087">
        <f t="shared" si="4"/>
        <v>30</v>
      </c>
      <c r="J42" s="1087">
        <f t="shared" si="1"/>
        <v>40</v>
      </c>
      <c r="K42" s="1087">
        <f t="shared" si="5"/>
        <v>40</v>
      </c>
      <c r="L42" s="755">
        <f t="shared" si="7"/>
        <v>0</v>
      </c>
      <c r="M42" s="755">
        <f t="shared" si="7"/>
        <v>0</v>
      </c>
      <c r="N42" s="753"/>
      <c r="O42" s="753"/>
      <c r="P42" s="753"/>
      <c r="Q42" s="753"/>
      <c r="R42" s="753"/>
      <c r="S42" s="753"/>
      <c r="T42" s="753"/>
      <c r="U42" s="753"/>
      <c r="V42" s="753"/>
    </row>
    <row r="43" spans="1:22" x14ac:dyDescent="0.25">
      <c r="A43" s="1085">
        <f t="shared" si="6"/>
        <v>45270</v>
      </c>
      <c r="B43">
        <v>85</v>
      </c>
      <c r="D43">
        <f t="shared" si="2"/>
        <v>48.571428571428569</v>
      </c>
      <c r="F43" s="1086" t="s">
        <v>1164</v>
      </c>
      <c r="G43" s="1087">
        <f t="shared" si="8"/>
        <v>25</v>
      </c>
      <c r="H43" s="1087">
        <f t="shared" si="3"/>
        <v>10</v>
      </c>
      <c r="I43" s="1087">
        <f t="shared" si="4"/>
        <v>30</v>
      </c>
      <c r="J43" s="1087">
        <f t="shared" si="1"/>
        <v>40</v>
      </c>
      <c r="K43" s="1087">
        <f t="shared" si="5"/>
        <v>40</v>
      </c>
      <c r="L43" s="755">
        <f t="shared" si="7"/>
        <v>0</v>
      </c>
      <c r="M43" s="755">
        <f t="shared" si="7"/>
        <v>0</v>
      </c>
      <c r="N43" s="753"/>
      <c r="O43" s="753"/>
      <c r="P43" s="753"/>
      <c r="Q43" s="753"/>
      <c r="R43" s="753"/>
      <c r="S43" s="753"/>
      <c r="T43" s="753"/>
      <c r="U43" s="753"/>
      <c r="V43" s="753"/>
    </row>
    <row r="44" spans="1:22" x14ac:dyDescent="0.25">
      <c r="A44" s="1085">
        <f t="shared" si="6"/>
        <v>45301</v>
      </c>
      <c r="B44">
        <v>100</v>
      </c>
      <c r="D44">
        <f t="shared" si="2"/>
        <v>57.142857142857146</v>
      </c>
      <c r="F44" s="1086" t="s">
        <v>1165</v>
      </c>
      <c r="G44" s="1087">
        <f t="shared" si="8"/>
        <v>25</v>
      </c>
      <c r="H44" s="1087">
        <f t="shared" si="3"/>
        <v>10</v>
      </c>
      <c r="I44" s="1087">
        <f t="shared" si="4"/>
        <v>30</v>
      </c>
      <c r="J44" s="1087">
        <f t="shared" si="1"/>
        <v>40</v>
      </c>
      <c r="K44" s="1087">
        <f t="shared" si="5"/>
        <v>40</v>
      </c>
      <c r="L44" s="755">
        <f t="shared" si="7"/>
        <v>0</v>
      </c>
      <c r="M44" s="755">
        <f t="shared" si="7"/>
        <v>0</v>
      </c>
      <c r="N44" s="753"/>
      <c r="O44" s="753"/>
      <c r="P44" s="753"/>
      <c r="Q44" s="753"/>
      <c r="R44" s="753"/>
      <c r="S44" s="753"/>
      <c r="T44" s="753"/>
      <c r="U44" s="753"/>
      <c r="V44" s="753"/>
    </row>
    <row r="45" spans="1:22" x14ac:dyDescent="0.25">
      <c r="A45" s="1085">
        <f t="shared" si="6"/>
        <v>45332</v>
      </c>
      <c r="B45">
        <v>100</v>
      </c>
      <c r="D45">
        <f t="shared" si="2"/>
        <v>57.142857142857146</v>
      </c>
      <c r="F45" s="1086" t="s">
        <v>1166</v>
      </c>
      <c r="G45" s="1087">
        <f t="shared" si="8"/>
        <v>25</v>
      </c>
      <c r="H45" s="1087">
        <f t="shared" si="3"/>
        <v>10</v>
      </c>
      <c r="I45" s="1087">
        <f t="shared" si="4"/>
        <v>30</v>
      </c>
      <c r="J45" s="1087">
        <f t="shared" si="1"/>
        <v>40</v>
      </c>
      <c r="K45" s="1087">
        <f t="shared" si="5"/>
        <v>40</v>
      </c>
      <c r="L45" s="755">
        <f t="shared" si="7"/>
        <v>0</v>
      </c>
      <c r="M45" s="755">
        <f t="shared" si="7"/>
        <v>0</v>
      </c>
      <c r="N45" s="753"/>
      <c r="O45" s="753"/>
      <c r="P45" s="753"/>
      <c r="Q45" s="753"/>
      <c r="R45" s="753"/>
      <c r="S45" s="753"/>
      <c r="T45" s="753"/>
      <c r="U45" s="753"/>
      <c r="V45" s="753"/>
    </row>
    <row r="46" spans="1:22" x14ac:dyDescent="0.25">
      <c r="A46" s="1085">
        <f t="shared" si="6"/>
        <v>45363</v>
      </c>
      <c r="B46">
        <f t="shared" ref="B46:B50" si="9">B45</f>
        <v>100</v>
      </c>
      <c r="D46">
        <f t="shared" si="2"/>
        <v>57.142857142857146</v>
      </c>
      <c r="F46" s="1086" t="s">
        <v>1167</v>
      </c>
      <c r="G46" s="1087">
        <f t="shared" si="8"/>
        <v>25</v>
      </c>
      <c r="H46" s="1087">
        <f t="shared" si="3"/>
        <v>10</v>
      </c>
      <c r="I46" s="1087">
        <f t="shared" si="4"/>
        <v>30</v>
      </c>
      <c r="J46" s="1087">
        <f t="shared" si="1"/>
        <v>40</v>
      </c>
      <c r="K46" s="1087">
        <f t="shared" si="5"/>
        <v>40</v>
      </c>
      <c r="L46" s="755">
        <f t="shared" si="7"/>
        <v>0</v>
      </c>
      <c r="M46" s="755">
        <f t="shared" si="7"/>
        <v>0</v>
      </c>
      <c r="N46" s="753"/>
      <c r="O46" s="753"/>
      <c r="P46" s="753"/>
      <c r="Q46" s="753"/>
      <c r="R46" s="753"/>
      <c r="S46" s="753"/>
      <c r="T46" s="753"/>
      <c r="U46" s="753"/>
      <c r="V46" s="753"/>
    </row>
    <row r="47" spans="1:22" x14ac:dyDescent="0.25">
      <c r="A47" s="1085">
        <f t="shared" si="6"/>
        <v>45394</v>
      </c>
      <c r="B47">
        <f t="shared" si="9"/>
        <v>100</v>
      </c>
      <c r="D47">
        <f t="shared" si="2"/>
        <v>57.142857142857146</v>
      </c>
      <c r="F47" s="1082"/>
      <c r="G47" s="1087"/>
      <c r="H47" s="1082"/>
      <c r="I47" s="1082"/>
      <c r="J47" s="1087">
        <f>SUM(J27:J46)</f>
        <v>1007.6190476190477</v>
      </c>
      <c r="K47" s="1087">
        <f>SUM(K27:K46)</f>
        <v>1022.6761904761905</v>
      </c>
      <c r="L47" s="755">
        <f t="shared" si="7"/>
        <v>967.61904761904771</v>
      </c>
      <c r="M47" s="755">
        <f t="shared" si="7"/>
        <v>982.67619047619053</v>
      </c>
      <c r="N47" s="753"/>
      <c r="O47" s="753"/>
      <c r="P47" s="753"/>
      <c r="Q47" s="753"/>
      <c r="R47" s="753"/>
      <c r="S47" s="753"/>
      <c r="T47" s="753"/>
      <c r="U47" s="753"/>
      <c r="V47" s="753"/>
    </row>
    <row r="48" spans="1:22" x14ac:dyDescent="0.25">
      <c r="A48" s="1085">
        <f t="shared" si="6"/>
        <v>45425</v>
      </c>
      <c r="B48">
        <f t="shared" si="9"/>
        <v>100</v>
      </c>
      <c r="D48">
        <f t="shared" si="2"/>
        <v>57.142857142857146</v>
      </c>
      <c r="G48" s="128"/>
      <c r="H48" s="128"/>
      <c r="I48" s="128"/>
      <c r="K48" s="128" t="s">
        <v>323</v>
      </c>
      <c r="L48" s="753"/>
      <c r="M48" s="753"/>
      <c r="N48" s="753"/>
      <c r="O48" s="753"/>
      <c r="P48" s="753"/>
      <c r="Q48" s="753"/>
      <c r="R48" s="753"/>
      <c r="S48" s="753"/>
      <c r="T48" s="753"/>
      <c r="U48" s="753"/>
      <c r="V48" s="753"/>
    </row>
    <row r="49" spans="1:22" x14ac:dyDescent="0.25">
      <c r="A49" s="1085">
        <f t="shared" si="6"/>
        <v>45456</v>
      </c>
      <c r="B49">
        <f t="shared" si="9"/>
        <v>100</v>
      </c>
      <c r="D49">
        <f t="shared" si="2"/>
        <v>57.142857142857146</v>
      </c>
      <c r="G49" s="128"/>
      <c r="K49" s="128"/>
      <c r="L49" s="753"/>
      <c r="M49" s="753"/>
      <c r="N49" s="753"/>
      <c r="O49" s="753"/>
      <c r="P49" s="753"/>
      <c r="Q49" s="753"/>
      <c r="R49" s="753"/>
      <c r="S49" s="753"/>
      <c r="T49" s="753"/>
      <c r="U49" s="753"/>
      <c r="V49" s="753"/>
    </row>
    <row r="50" spans="1:22" x14ac:dyDescent="0.25">
      <c r="A50" s="1085">
        <f t="shared" si="6"/>
        <v>45487</v>
      </c>
      <c r="B50">
        <f t="shared" si="9"/>
        <v>100</v>
      </c>
      <c r="D50">
        <f t="shared" si="2"/>
        <v>57.142857142857146</v>
      </c>
      <c r="G50" s="128"/>
      <c r="K50" s="128"/>
      <c r="L50" s="753"/>
      <c r="M50" s="753"/>
      <c r="N50" s="753"/>
      <c r="O50" s="753"/>
      <c r="P50" s="753"/>
      <c r="Q50" s="753"/>
      <c r="R50" s="753"/>
      <c r="S50" s="753"/>
      <c r="T50" s="753"/>
      <c r="U50" s="753"/>
      <c r="V50" s="753"/>
    </row>
    <row r="51" spans="1:22" x14ac:dyDescent="0.25">
      <c r="A51" s="1085">
        <f t="shared" si="6"/>
        <v>45518</v>
      </c>
      <c r="B51">
        <v>85</v>
      </c>
      <c r="D51">
        <f t="shared" si="2"/>
        <v>48.571428571428569</v>
      </c>
      <c r="G51" s="128"/>
      <c r="K51" s="128"/>
      <c r="L51" s="753"/>
      <c r="M51" s="753"/>
      <c r="N51" s="753"/>
      <c r="O51" s="753"/>
      <c r="P51" s="753"/>
      <c r="Q51" s="753"/>
      <c r="R51" s="753"/>
      <c r="S51" s="753"/>
      <c r="T51" s="753"/>
      <c r="U51" s="753"/>
      <c r="V51" s="753"/>
    </row>
    <row r="52" spans="1:22" x14ac:dyDescent="0.25">
      <c r="A52" s="1085">
        <f t="shared" si="6"/>
        <v>45549</v>
      </c>
      <c r="B52">
        <v>83</v>
      </c>
      <c r="D52">
        <f t="shared" si="2"/>
        <v>47.428571428571431</v>
      </c>
      <c r="G52" s="128"/>
      <c r="K52" s="128"/>
      <c r="L52" s="753"/>
      <c r="M52" s="753"/>
      <c r="N52" s="753"/>
      <c r="O52" s="753"/>
      <c r="P52" s="753"/>
      <c r="Q52" s="753"/>
      <c r="R52" s="753"/>
      <c r="S52" s="753"/>
      <c r="T52" s="753"/>
      <c r="U52" s="753"/>
      <c r="V52" s="753"/>
    </row>
    <row r="53" spans="1:22" x14ac:dyDescent="0.25">
      <c r="A53" s="1085">
        <f t="shared" si="6"/>
        <v>45580</v>
      </c>
      <c r="B53">
        <v>81</v>
      </c>
      <c r="D53">
        <f t="shared" si="2"/>
        <v>46.285714285714285</v>
      </c>
      <c r="G53" s="128"/>
      <c r="K53" s="128"/>
      <c r="L53" s="753"/>
      <c r="M53" s="753"/>
      <c r="N53" s="753"/>
      <c r="O53" s="753"/>
      <c r="P53" s="753"/>
      <c r="Q53" s="753"/>
      <c r="R53" s="753"/>
      <c r="S53" s="753"/>
      <c r="T53" s="753"/>
      <c r="U53" s="753"/>
      <c r="V53" s="753"/>
    </row>
    <row r="54" spans="1:22" x14ac:dyDescent="0.25">
      <c r="A54" s="1085">
        <f t="shared" si="6"/>
        <v>45611</v>
      </c>
      <c r="B54">
        <v>79</v>
      </c>
      <c r="D54">
        <f t="shared" si="2"/>
        <v>45.142857142857146</v>
      </c>
      <c r="G54" s="128"/>
      <c r="K54" s="128"/>
      <c r="L54" s="753"/>
      <c r="M54" s="753"/>
      <c r="N54" s="753"/>
      <c r="O54" s="753"/>
      <c r="P54" s="753"/>
      <c r="Q54" s="753"/>
      <c r="R54" s="753"/>
      <c r="S54" s="753"/>
      <c r="T54" s="753"/>
      <c r="U54" s="753"/>
      <c r="V54" s="753"/>
    </row>
    <row r="55" spans="1:22" x14ac:dyDescent="0.25">
      <c r="A55" s="1085">
        <f t="shared" si="6"/>
        <v>45642</v>
      </c>
      <c r="B55">
        <v>77</v>
      </c>
      <c r="D55">
        <f t="shared" si="2"/>
        <v>44</v>
      </c>
      <c r="G55" s="128"/>
      <c r="K55" s="128"/>
      <c r="L55" s="753"/>
      <c r="M55" s="753"/>
      <c r="N55" s="753"/>
      <c r="O55" s="753"/>
      <c r="P55" s="753"/>
      <c r="Q55" s="753"/>
      <c r="R55" s="753"/>
      <c r="S55" s="753"/>
      <c r="T55" s="753"/>
      <c r="U55" s="753"/>
      <c r="V55" s="753"/>
    </row>
    <row r="56" spans="1:22" x14ac:dyDescent="0.25">
      <c r="A56" s="1085">
        <f t="shared" si="6"/>
        <v>45673</v>
      </c>
      <c r="B56">
        <v>50</v>
      </c>
      <c r="D56">
        <f t="shared" si="2"/>
        <v>28.571428571428573</v>
      </c>
      <c r="G56" s="128"/>
      <c r="K56" s="128"/>
      <c r="L56" s="753"/>
      <c r="M56" s="753"/>
      <c r="N56" s="753"/>
      <c r="O56" s="753"/>
      <c r="P56" s="753"/>
      <c r="Q56" s="753"/>
      <c r="R56" s="753"/>
      <c r="S56" s="753"/>
      <c r="T56" s="753"/>
      <c r="U56" s="753"/>
      <c r="V56" s="753"/>
    </row>
    <row r="57" spans="1:22" x14ac:dyDescent="0.25">
      <c r="A57" s="1085">
        <f t="shared" si="6"/>
        <v>45704</v>
      </c>
      <c r="B57">
        <v>44</v>
      </c>
      <c r="D57">
        <f t="shared" si="2"/>
        <v>25.142857142857142</v>
      </c>
      <c r="G57" s="128"/>
      <c r="K57" s="128"/>
      <c r="L57" s="753"/>
      <c r="M57" s="753"/>
      <c r="N57" s="753"/>
      <c r="O57" s="753"/>
      <c r="P57" s="753"/>
      <c r="Q57" s="753"/>
      <c r="R57" s="753"/>
      <c r="S57" s="753"/>
      <c r="T57" s="753"/>
      <c r="U57" s="753"/>
      <c r="V57" s="753"/>
    </row>
    <row r="58" spans="1:22" x14ac:dyDescent="0.25">
      <c r="A58" s="1085">
        <f t="shared" si="6"/>
        <v>45735</v>
      </c>
      <c r="B58">
        <v>36</v>
      </c>
      <c r="D58">
        <f t="shared" si="2"/>
        <v>20.571428571428573</v>
      </c>
      <c r="G58" s="128"/>
      <c r="K58" s="128"/>
      <c r="L58" s="753"/>
      <c r="M58" s="753"/>
      <c r="N58" s="753"/>
      <c r="O58" s="753"/>
      <c r="P58" s="753"/>
      <c r="Q58" s="753"/>
      <c r="R58" s="753"/>
      <c r="S58" s="753"/>
      <c r="T58" s="753"/>
      <c r="U58" s="753"/>
      <c r="V58" s="753"/>
    </row>
    <row r="59" spans="1:22" x14ac:dyDescent="0.25">
      <c r="A59" s="1085">
        <f t="shared" si="6"/>
        <v>45766</v>
      </c>
      <c r="B59">
        <v>26</v>
      </c>
      <c r="D59">
        <f t="shared" si="2"/>
        <v>14.857142857142858</v>
      </c>
      <c r="G59" s="128"/>
      <c r="K59" s="128"/>
      <c r="L59" s="753"/>
      <c r="M59" s="753"/>
      <c r="N59" s="753"/>
      <c r="O59" s="753"/>
      <c r="P59" s="753"/>
      <c r="Q59" s="753"/>
      <c r="R59" s="753"/>
      <c r="S59" s="753"/>
      <c r="T59" s="753"/>
      <c r="U59" s="753"/>
      <c r="V59" s="753"/>
    </row>
    <row r="60" spans="1:22" x14ac:dyDescent="0.25">
      <c r="A60" s="1085">
        <f t="shared" si="6"/>
        <v>45797</v>
      </c>
      <c r="B60">
        <v>25</v>
      </c>
      <c r="D60">
        <f t="shared" si="2"/>
        <v>14.285714285714286</v>
      </c>
      <c r="G60" s="128"/>
      <c r="K60" s="128"/>
      <c r="L60" s="753"/>
      <c r="M60" s="753"/>
      <c r="N60" s="753"/>
      <c r="O60" s="753"/>
      <c r="P60" s="753"/>
      <c r="Q60" s="753"/>
      <c r="R60" s="753"/>
      <c r="S60" s="753"/>
      <c r="T60" s="753"/>
      <c r="U60" s="753"/>
      <c r="V60" s="753"/>
    </row>
    <row r="61" spans="1:22" x14ac:dyDescent="0.25">
      <c r="A61" s="1085">
        <f t="shared" si="6"/>
        <v>45828</v>
      </c>
      <c r="B61">
        <v>24</v>
      </c>
      <c r="D61">
        <f t="shared" si="2"/>
        <v>13.714285714285714</v>
      </c>
      <c r="G61" s="128"/>
      <c r="K61" s="128"/>
      <c r="L61" s="753"/>
      <c r="M61" s="753"/>
      <c r="N61" s="753"/>
      <c r="O61" s="753"/>
      <c r="P61" s="753"/>
      <c r="Q61" s="753"/>
      <c r="R61" s="753"/>
      <c r="S61" s="753"/>
      <c r="T61" s="753"/>
      <c r="U61" s="753"/>
      <c r="V61" s="753"/>
    </row>
    <row r="62" spans="1:22" x14ac:dyDescent="0.25">
      <c r="L62" s="753"/>
      <c r="M62" s="753"/>
      <c r="N62" s="753"/>
      <c r="O62" s="753"/>
      <c r="P62" s="753"/>
      <c r="Q62" s="753"/>
      <c r="R62" s="753"/>
      <c r="S62" s="753"/>
      <c r="T62" s="753"/>
      <c r="U62" s="753"/>
      <c r="V62" s="753"/>
    </row>
    <row r="63" spans="1:22" x14ac:dyDescent="0.25">
      <c r="L63" s="753"/>
      <c r="M63" s="753"/>
      <c r="N63" s="753"/>
      <c r="O63" s="753"/>
      <c r="P63" s="753"/>
      <c r="Q63" s="753"/>
      <c r="R63" s="753"/>
      <c r="S63" s="753"/>
      <c r="T63" s="753"/>
      <c r="U63" s="753"/>
      <c r="V63" s="753"/>
    </row>
    <row r="64" spans="1:22" x14ac:dyDescent="0.25">
      <c r="A64" t="s">
        <v>1885</v>
      </c>
      <c r="L64" s="753"/>
      <c r="M64" s="753"/>
      <c r="N64" s="753"/>
      <c r="O64" s="753"/>
      <c r="P64" s="753"/>
      <c r="Q64" s="753"/>
      <c r="R64" s="753"/>
      <c r="S64" s="753"/>
      <c r="T64" s="753"/>
      <c r="U64" s="753"/>
      <c r="V64" s="753"/>
    </row>
    <row r="65" spans="1:22" x14ac:dyDescent="0.25">
      <c r="L65" s="753"/>
      <c r="M65" s="753"/>
      <c r="N65" s="753"/>
      <c r="O65" s="753"/>
      <c r="P65" s="753"/>
      <c r="Q65" s="753"/>
      <c r="R65" s="753"/>
      <c r="S65" s="753"/>
      <c r="T65" s="753"/>
      <c r="U65" s="753"/>
      <c r="V65" s="753"/>
    </row>
    <row r="66" spans="1:22" ht="333.6" customHeight="1" x14ac:dyDescent="0.25">
      <c r="A66" t="s">
        <v>1886</v>
      </c>
      <c r="B66" s="14" t="s">
        <v>1887</v>
      </c>
      <c r="C66" s="993" t="s">
        <v>1888</v>
      </c>
      <c r="D66" s="14"/>
      <c r="L66" s="753"/>
      <c r="M66" s="753"/>
      <c r="N66" s="753"/>
      <c r="O66" s="753"/>
      <c r="P66" s="753"/>
      <c r="Q66" s="753"/>
      <c r="R66" s="753"/>
      <c r="S66" s="753"/>
      <c r="T66" s="753"/>
      <c r="U66" s="753"/>
      <c r="V66" s="753"/>
    </row>
    <row r="67" spans="1:22" x14ac:dyDescent="0.25">
      <c r="L67" s="753"/>
      <c r="M67" s="753"/>
      <c r="N67" s="753"/>
      <c r="O67" s="753"/>
      <c r="P67" s="753"/>
      <c r="Q67" s="753"/>
      <c r="R67" s="753"/>
      <c r="S67" s="753"/>
      <c r="T67" s="753"/>
      <c r="U67" s="753"/>
      <c r="V67" s="753"/>
    </row>
    <row r="68" spans="1:22" x14ac:dyDescent="0.25">
      <c r="A68" t="s">
        <v>1889</v>
      </c>
      <c r="C68" s="1088"/>
      <c r="L68" s="753"/>
      <c r="M68" s="753"/>
      <c r="N68" s="753"/>
      <c r="O68" s="753"/>
      <c r="P68" s="753"/>
      <c r="Q68" s="753"/>
      <c r="R68" s="753"/>
      <c r="S68" s="753"/>
      <c r="T68" s="753"/>
      <c r="U68" s="753"/>
      <c r="V68" s="753"/>
    </row>
    <row r="69" spans="1:22" x14ac:dyDescent="0.25">
      <c r="A69" t="s">
        <v>1890</v>
      </c>
      <c r="B69" t="s">
        <v>1886</v>
      </c>
      <c r="C69" s="1088" t="s">
        <v>1891</v>
      </c>
      <c r="D69" s="1088" t="s">
        <v>1892</v>
      </c>
      <c r="L69" s="753"/>
      <c r="M69" s="753"/>
      <c r="N69" s="753"/>
      <c r="O69" s="753"/>
      <c r="P69" s="753"/>
      <c r="Q69" s="753"/>
      <c r="R69" s="753"/>
      <c r="S69" s="753"/>
      <c r="T69" s="753"/>
      <c r="U69" s="753"/>
      <c r="V69" s="753"/>
    </row>
    <row r="70" spans="1:22" x14ac:dyDescent="0.25">
      <c r="A70" s="1089">
        <v>44562</v>
      </c>
      <c r="B70" s="262">
        <v>58.637</v>
      </c>
      <c r="C70" s="1090">
        <v>87.938999999999993</v>
      </c>
      <c r="D70">
        <f>C70/B70</f>
        <v>1.4997186077050326</v>
      </c>
      <c r="L70" s="753"/>
      <c r="M70" s="753"/>
      <c r="N70" s="753"/>
      <c r="O70" s="753"/>
      <c r="P70" s="753"/>
      <c r="Q70" s="753"/>
      <c r="R70" s="753"/>
      <c r="S70" s="753"/>
      <c r="T70" s="753"/>
      <c r="U70" s="753"/>
      <c r="V70" s="753"/>
    </row>
    <row r="71" spans="1:22" x14ac:dyDescent="0.25">
      <c r="A71" s="1089">
        <v>44652</v>
      </c>
      <c r="B71" s="262">
        <v>56.826000000000001</v>
      </c>
      <c r="C71" s="1090">
        <v>90.418999999999997</v>
      </c>
      <c r="D71">
        <f t="shared" ref="D71:D75" si="10">C71/B71</f>
        <v>1.5911554570091155</v>
      </c>
      <c r="L71" s="753"/>
      <c r="M71" s="753"/>
      <c r="N71" s="753"/>
      <c r="O71" s="753"/>
      <c r="P71" s="753"/>
      <c r="Q71" s="753"/>
      <c r="R71" s="753"/>
      <c r="S71" s="753"/>
      <c r="T71" s="753"/>
      <c r="U71" s="753"/>
      <c r="V71" s="753"/>
    </row>
    <row r="72" spans="1:22" x14ac:dyDescent="0.25">
      <c r="A72" s="1089">
        <v>44743</v>
      </c>
      <c r="B72" s="262">
        <v>59.756999999999998</v>
      </c>
      <c r="C72" s="1090">
        <v>101.727</v>
      </c>
      <c r="D72">
        <f t="shared" si="10"/>
        <v>1.7023444952055828</v>
      </c>
      <c r="L72" s="753"/>
      <c r="M72" s="753"/>
      <c r="N72" s="753"/>
      <c r="O72" s="753"/>
      <c r="P72" s="753"/>
      <c r="Q72" s="753"/>
      <c r="R72" s="753"/>
      <c r="S72" s="753"/>
      <c r="T72" s="753"/>
      <c r="U72" s="753"/>
      <c r="V72" s="753"/>
    </row>
    <row r="73" spans="1:22" x14ac:dyDescent="0.25">
      <c r="A73" s="1089">
        <v>44835</v>
      </c>
      <c r="B73" s="262">
        <v>64.33</v>
      </c>
      <c r="C73" s="1090">
        <v>112.18300000000001</v>
      </c>
      <c r="D73">
        <f t="shared" si="10"/>
        <v>1.7438675579045548</v>
      </c>
      <c r="L73" s="753"/>
      <c r="M73" s="753"/>
      <c r="N73" s="753"/>
      <c r="O73" s="753"/>
      <c r="P73" s="753"/>
      <c r="Q73" s="753"/>
      <c r="R73" s="753"/>
      <c r="S73" s="753"/>
      <c r="T73" s="753"/>
      <c r="U73" s="753"/>
      <c r="V73" s="753"/>
    </row>
    <row r="74" spans="1:22" x14ac:dyDescent="0.25">
      <c r="A74" s="1089">
        <v>44927</v>
      </c>
      <c r="B74" s="262">
        <v>74.295000000000002</v>
      </c>
      <c r="C74" s="1090">
        <v>131.22999999999999</v>
      </c>
      <c r="D74">
        <f t="shared" si="10"/>
        <v>1.7663369001951676</v>
      </c>
      <c r="L74" s="753"/>
      <c r="M74" s="753"/>
      <c r="N74" s="753"/>
      <c r="O74" s="753"/>
      <c r="P74" s="753"/>
      <c r="Q74" s="753"/>
      <c r="R74" s="753"/>
      <c r="S74" s="753"/>
      <c r="T74" s="753"/>
      <c r="U74" s="753"/>
      <c r="V74" s="753"/>
    </row>
    <row r="75" spans="1:22" x14ac:dyDescent="0.25">
      <c r="A75" s="1089">
        <v>45017</v>
      </c>
      <c r="B75" s="262">
        <v>87.679000000000002</v>
      </c>
      <c r="C75" s="1090">
        <v>153.18799999999999</v>
      </c>
      <c r="D75">
        <f t="shared" si="10"/>
        <v>1.7471458387983438</v>
      </c>
      <c r="L75" s="753"/>
      <c r="M75" s="753"/>
      <c r="N75" s="753"/>
      <c r="O75" s="753"/>
      <c r="P75" s="753"/>
      <c r="Q75" s="753"/>
      <c r="R75" s="753"/>
      <c r="S75" s="753"/>
      <c r="T75" s="753"/>
      <c r="U75" s="753"/>
      <c r="V75" s="753"/>
    </row>
    <row r="76" spans="1:22" x14ac:dyDescent="0.25">
      <c r="A76" s="753"/>
      <c r="B76" s="753"/>
      <c r="C76" s="753"/>
      <c r="D76" s="753"/>
      <c r="E76" s="753"/>
      <c r="F76" s="753"/>
      <c r="G76" s="753"/>
      <c r="H76" s="753"/>
      <c r="I76" s="753"/>
      <c r="J76" s="753"/>
      <c r="K76" s="753"/>
      <c r="L76" s="753"/>
      <c r="M76" s="753"/>
      <c r="N76" s="753"/>
      <c r="O76" s="753"/>
      <c r="P76" s="753"/>
      <c r="Q76" s="753"/>
      <c r="R76" s="753"/>
      <c r="S76" s="753"/>
      <c r="T76" s="753"/>
      <c r="U76" s="753"/>
      <c r="V76" s="753"/>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topLeftCell="A34" zoomScale="67" workbookViewId="0">
      <selection activeCell="A38" sqref="A38:P42"/>
    </sheetView>
  </sheetViews>
  <sheetFormatPr defaultColWidth="10.85546875" defaultRowHeight="15" x14ac:dyDescent="0.25"/>
  <cols>
    <col min="3" max="3" width="33.85546875" customWidth="1"/>
  </cols>
  <sheetData>
    <row r="3" spans="1:17" x14ac:dyDescent="0.25">
      <c r="A3" s="921" t="s">
        <v>524</v>
      </c>
      <c r="B3" s="222"/>
    </row>
    <row r="4" spans="1:17" x14ac:dyDescent="0.25">
      <c r="A4" s="1095" t="s">
        <v>525</v>
      </c>
      <c r="B4" s="1096"/>
      <c r="C4" s="1096"/>
    </row>
    <row r="7" spans="1:17" x14ac:dyDescent="0.25">
      <c r="A7" s="1504" t="s">
        <v>526</v>
      </c>
      <c r="B7" s="1505"/>
      <c r="C7" s="1505"/>
      <c r="D7" s="1505"/>
      <c r="E7" s="1505"/>
      <c r="F7" s="1505"/>
      <c r="G7" s="1505"/>
      <c r="H7" s="1505"/>
      <c r="I7" s="1505"/>
      <c r="J7" s="1505"/>
      <c r="K7" s="1505"/>
      <c r="L7" s="1505"/>
      <c r="M7" s="1505"/>
      <c r="N7" s="1505"/>
      <c r="O7" s="1505"/>
      <c r="P7" s="1505"/>
    </row>
    <row r="8" spans="1:17" x14ac:dyDescent="0.25">
      <c r="A8" s="345" t="s">
        <v>527</v>
      </c>
      <c r="B8" s="345"/>
      <c r="C8" s="345"/>
      <c r="D8" s="1100"/>
      <c r="E8" s="345"/>
      <c r="F8" s="345"/>
      <c r="G8" s="345"/>
      <c r="H8" s="345"/>
      <c r="I8" s="345"/>
      <c r="J8" s="345"/>
      <c r="K8" s="345"/>
      <c r="L8" s="345"/>
      <c r="M8" s="345"/>
      <c r="N8" s="345"/>
      <c r="O8" s="345"/>
      <c r="P8" s="345"/>
    </row>
    <row r="9" spans="1:17" x14ac:dyDescent="0.25">
      <c r="A9" s="222"/>
      <c r="B9" s="222"/>
      <c r="C9" s="222"/>
      <c r="D9" s="682"/>
      <c r="E9" s="222"/>
      <c r="F9" s="222"/>
      <c r="G9" s="222"/>
      <c r="H9" s="222"/>
      <c r="I9" s="222"/>
      <c r="J9" s="222"/>
      <c r="K9" s="222"/>
      <c r="L9" s="222"/>
      <c r="M9" s="222"/>
      <c r="N9" s="222"/>
      <c r="O9" s="222"/>
      <c r="P9" s="222"/>
    </row>
    <row r="10" spans="1:17" x14ac:dyDescent="0.25">
      <c r="A10" s="222"/>
      <c r="B10" s="222"/>
      <c r="C10" s="222"/>
      <c r="D10" s="682"/>
      <c r="E10" s="222"/>
      <c r="F10" s="222"/>
      <c r="G10" s="222"/>
      <c r="H10" s="222"/>
      <c r="I10" s="222"/>
      <c r="J10" s="222"/>
      <c r="K10" s="222"/>
      <c r="L10" s="222"/>
      <c r="M10" s="222"/>
      <c r="N10" s="222"/>
      <c r="O10" s="1506" t="s">
        <v>312</v>
      </c>
      <c r="P10" s="1506"/>
    </row>
    <row r="11" spans="1:17" x14ac:dyDescent="0.25">
      <c r="A11" s="222"/>
      <c r="B11" s="222"/>
      <c r="C11" s="722"/>
      <c r="D11" s="248"/>
      <c r="E11" s="722"/>
      <c r="F11" s="722"/>
      <c r="G11" s="722"/>
      <c r="H11" s="722"/>
      <c r="I11" s="722"/>
      <c r="J11" s="722"/>
      <c r="K11" s="722"/>
      <c r="L11" s="722"/>
      <c r="M11" s="722"/>
      <c r="N11" s="722"/>
      <c r="O11" s="1099" t="s">
        <v>528</v>
      </c>
      <c r="P11" s="1099" t="s">
        <v>528</v>
      </c>
    </row>
    <row r="12" spans="1:17" x14ac:dyDescent="0.25">
      <c r="A12" s="345"/>
      <c r="B12" s="345"/>
      <c r="C12" s="345"/>
      <c r="D12" s="1100">
        <v>2020</v>
      </c>
      <c r="E12" s="1100">
        <v>2021</v>
      </c>
      <c r="F12" s="1100">
        <v>2022</v>
      </c>
      <c r="G12" s="1100">
        <v>2023</v>
      </c>
      <c r="H12" s="1100">
        <v>2024</v>
      </c>
      <c r="I12" s="1100">
        <v>2025</v>
      </c>
      <c r="J12" s="1100">
        <v>2026</v>
      </c>
      <c r="K12" s="1100">
        <v>2027</v>
      </c>
      <c r="L12" s="1100">
        <v>2028</v>
      </c>
      <c r="M12" s="1100">
        <v>2029</v>
      </c>
      <c r="N12" s="1100">
        <v>2030</v>
      </c>
      <c r="O12" s="861">
        <v>2025</v>
      </c>
      <c r="P12" s="861">
        <v>2030</v>
      </c>
    </row>
    <row r="13" spans="1:17" x14ac:dyDescent="0.25">
      <c r="A13" s="722" t="s">
        <v>529</v>
      </c>
      <c r="B13" s="722"/>
      <c r="C13" s="722"/>
      <c r="D13" s="632">
        <v>540.56299999999999</v>
      </c>
      <c r="E13" s="632">
        <v>0</v>
      </c>
      <c r="F13" s="632">
        <v>0</v>
      </c>
      <c r="G13" s="632">
        <v>0</v>
      </c>
      <c r="H13" s="632">
        <v>0</v>
      </c>
      <c r="I13" s="632">
        <v>0</v>
      </c>
      <c r="J13" s="632">
        <v>0</v>
      </c>
      <c r="K13" s="632">
        <v>0</v>
      </c>
      <c r="L13" s="632">
        <v>0</v>
      </c>
      <c r="M13" s="632">
        <v>0</v>
      </c>
      <c r="N13" s="632">
        <v>0</v>
      </c>
      <c r="O13" s="632">
        <v>0</v>
      </c>
      <c r="P13" s="632">
        <v>0</v>
      </c>
      <c r="Q13" t="s">
        <v>50</v>
      </c>
    </row>
    <row r="14" spans="1:17" x14ac:dyDescent="0.25">
      <c r="A14" s="222" t="s">
        <v>530</v>
      </c>
      <c r="B14" s="222"/>
      <c r="C14" s="222"/>
      <c r="D14" s="248"/>
      <c r="E14" s="722"/>
      <c r="F14" s="722"/>
      <c r="G14" s="722"/>
      <c r="H14" s="722"/>
      <c r="I14" s="722"/>
      <c r="J14" s="722"/>
      <c r="K14" s="722"/>
      <c r="L14" s="722"/>
      <c r="M14" s="722"/>
      <c r="N14" s="722"/>
      <c r="O14" s="722"/>
      <c r="P14" s="722"/>
      <c r="Q14" t="s">
        <v>531</v>
      </c>
    </row>
    <row r="15" spans="1:17" x14ac:dyDescent="0.25">
      <c r="A15" s="222"/>
      <c r="B15" s="222" t="s">
        <v>532</v>
      </c>
      <c r="C15" s="222"/>
      <c r="D15" s="248">
        <v>285.56</v>
      </c>
      <c r="E15" s="248">
        <v>5</v>
      </c>
      <c r="F15" s="248">
        <v>0</v>
      </c>
      <c r="G15" s="248">
        <v>0</v>
      </c>
      <c r="H15" s="248">
        <v>0</v>
      </c>
      <c r="I15" s="248">
        <v>0</v>
      </c>
      <c r="J15" s="248">
        <v>0</v>
      </c>
      <c r="K15" s="248">
        <v>0</v>
      </c>
      <c r="L15" s="248">
        <v>0</v>
      </c>
      <c r="M15" s="248">
        <v>0</v>
      </c>
      <c r="N15" s="248">
        <v>0</v>
      </c>
      <c r="O15" s="248">
        <v>5</v>
      </c>
      <c r="P15" s="248">
        <v>5</v>
      </c>
    </row>
    <row r="16" spans="1:17" x14ac:dyDescent="0.25">
      <c r="A16" s="722"/>
      <c r="B16" s="222" t="s">
        <v>533</v>
      </c>
      <c r="C16" s="722"/>
      <c r="D16" s="248">
        <v>67.209999999999994</v>
      </c>
      <c r="E16" s="248">
        <v>13.68</v>
      </c>
      <c r="F16" s="248">
        <v>0</v>
      </c>
      <c r="G16" s="248">
        <v>0</v>
      </c>
      <c r="H16" s="248">
        <v>0</v>
      </c>
      <c r="I16" s="248">
        <v>0</v>
      </c>
      <c r="J16" s="248">
        <v>0</v>
      </c>
      <c r="K16" s="248">
        <v>0</v>
      </c>
      <c r="L16" s="248">
        <v>0</v>
      </c>
      <c r="M16" s="248">
        <v>0</v>
      </c>
      <c r="N16" s="248">
        <v>0</v>
      </c>
      <c r="O16" s="248">
        <v>13.68</v>
      </c>
      <c r="P16" s="248">
        <v>13.68</v>
      </c>
    </row>
    <row r="17" spans="1:17" x14ac:dyDescent="0.25">
      <c r="A17" s="722"/>
      <c r="B17" s="222" t="s">
        <v>534</v>
      </c>
      <c r="C17" s="722"/>
      <c r="D17" s="248">
        <v>11.12</v>
      </c>
      <c r="E17" s="248">
        <v>47.8</v>
      </c>
      <c r="F17" s="248">
        <v>0</v>
      </c>
      <c r="G17" s="248">
        <v>0</v>
      </c>
      <c r="H17" s="248">
        <v>0</v>
      </c>
      <c r="I17" s="248">
        <v>0</v>
      </c>
      <c r="J17" s="248">
        <v>0</v>
      </c>
      <c r="K17" s="248">
        <v>0</v>
      </c>
      <c r="L17" s="248">
        <v>0</v>
      </c>
      <c r="M17" s="248">
        <v>0</v>
      </c>
      <c r="N17" s="248">
        <v>0</v>
      </c>
      <c r="O17" s="248">
        <v>47.8</v>
      </c>
      <c r="P17" s="248">
        <v>47.8</v>
      </c>
    </row>
    <row r="18" spans="1:17" x14ac:dyDescent="0.25">
      <c r="A18" s="722"/>
      <c r="B18" s="222" t="s">
        <v>535</v>
      </c>
      <c r="C18" s="722"/>
      <c r="D18" s="248">
        <v>6.2149999999999999</v>
      </c>
      <c r="E18" s="248">
        <v>5.0049999999999999</v>
      </c>
      <c r="F18" s="248">
        <v>0</v>
      </c>
      <c r="G18" s="248">
        <v>0</v>
      </c>
      <c r="H18" s="248">
        <v>0</v>
      </c>
      <c r="I18" s="248">
        <v>0</v>
      </c>
      <c r="J18" s="248">
        <v>0</v>
      </c>
      <c r="K18" s="248">
        <v>0</v>
      </c>
      <c r="L18" s="248">
        <v>0</v>
      </c>
      <c r="M18" s="248">
        <v>0</v>
      </c>
      <c r="N18" s="248">
        <v>0</v>
      </c>
      <c r="O18" s="248">
        <v>5.0049999999999999</v>
      </c>
      <c r="P18" s="248">
        <v>5.0049999999999999</v>
      </c>
    </row>
    <row r="19" spans="1:17" x14ac:dyDescent="0.25">
      <c r="A19" s="722"/>
      <c r="B19" s="222"/>
      <c r="C19" s="722"/>
      <c r="D19" s="248" t="s">
        <v>536</v>
      </c>
      <c r="E19" s="248" t="s">
        <v>536</v>
      </c>
      <c r="F19" s="248" t="s">
        <v>536</v>
      </c>
      <c r="G19" s="248" t="s">
        <v>536</v>
      </c>
      <c r="H19" s="248" t="s">
        <v>536</v>
      </c>
      <c r="I19" s="248" t="s">
        <v>536</v>
      </c>
      <c r="J19" s="248" t="s">
        <v>536</v>
      </c>
      <c r="K19" s="248" t="s">
        <v>536</v>
      </c>
      <c r="L19" s="248" t="s">
        <v>536</v>
      </c>
      <c r="M19" s="248" t="s">
        <v>536</v>
      </c>
      <c r="N19" s="248" t="s">
        <v>536</v>
      </c>
      <c r="O19" s="248" t="s">
        <v>536</v>
      </c>
      <c r="P19" s="248" t="s">
        <v>536</v>
      </c>
    </row>
    <row r="20" spans="1:17" x14ac:dyDescent="0.25">
      <c r="A20" s="722"/>
      <c r="B20" s="222"/>
      <c r="C20" s="722" t="s">
        <v>537</v>
      </c>
      <c r="D20" s="248">
        <v>370.10500000000002</v>
      </c>
      <c r="E20" s="248">
        <v>71.484999999999999</v>
      </c>
      <c r="F20" s="248">
        <v>0</v>
      </c>
      <c r="G20" s="248">
        <v>0</v>
      </c>
      <c r="H20" s="248">
        <v>0</v>
      </c>
      <c r="I20" s="248">
        <v>0</v>
      </c>
      <c r="J20" s="248">
        <v>0</v>
      </c>
      <c r="K20" s="248">
        <v>0</v>
      </c>
      <c r="L20" s="248">
        <v>0</v>
      </c>
      <c r="M20" s="248">
        <v>0</v>
      </c>
      <c r="N20" s="248">
        <v>0</v>
      </c>
      <c r="O20" s="248">
        <v>71.484999999999999</v>
      </c>
      <c r="P20" s="248">
        <v>71.484999999999999</v>
      </c>
    </row>
    <row r="21" spans="1:17" x14ac:dyDescent="0.25">
      <c r="A21" s="722"/>
      <c r="B21" s="222"/>
      <c r="C21" s="722"/>
      <c r="D21" s="248"/>
      <c r="E21" s="248"/>
      <c r="F21" s="248"/>
      <c r="G21" s="248"/>
      <c r="H21" s="248"/>
      <c r="I21" s="248"/>
      <c r="J21" s="248"/>
      <c r="K21" s="248"/>
      <c r="L21" s="248"/>
      <c r="M21" s="248"/>
      <c r="N21" s="248"/>
      <c r="O21" s="248"/>
      <c r="P21" s="248"/>
    </row>
    <row r="22" spans="1:17" ht="17.100000000000001" customHeight="1" x14ac:dyDescent="0.25">
      <c r="A22" s="722" t="s">
        <v>538</v>
      </c>
      <c r="B22" s="222"/>
      <c r="C22" s="722"/>
      <c r="D22" s="248">
        <v>271.98399999999998</v>
      </c>
      <c r="E22" s="248">
        <v>9.327</v>
      </c>
      <c r="F22" s="248">
        <v>0</v>
      </c>
      <c r="G22" s="248">
        <v>0</v>
      </c>
      <c r="H22" s="248">
        <v>0</v>
      </c>
      <c r="I22" s="248">
        <v>0</v>
      </c>
      <c r="J22" s="248">
        <v>0</v>
      </c>
      <c r="K22" s="248">
        <v>0</v>
      </c>
      <c r="L22" s="248">
        <v>0</v>
      </c>
      <c r="M22" s="248">
        <v>0</v>
      </c>
      <c r="N22" s="248">
        <v>0</v>
      </c>
      <c r="O22" s="248">
        <v>9.327</v>
      </c>
      <c r="P22" s="248">
        <v>9.327</v>
      </c>
      <c r="Q22" t="s">
        <v>539</v>
      </c>
    </row>
    <row r="23" spans="1:17" x14ac:dyDescent="0.25">
      <c r="A23" s="722" t="s">
        <v>149</v>
      </c>
      <c r="B23" s="222"/>
      <c r="C23" s="222"/>
      <c r="D23" s="248">
        <v>149.97300000000001</v>
      </c>
      <c r="E23" s="248">
        <v>2.5999999999999999E-2</v>
      </c>
      <c r="F23" s="248">
        <v>0</v>
      </c>
      <c r="G23" s="248">
        <v>0</v>
      </c>
      <c r="H23" s="248">
        <v>0</v>
      </c>
      <c r="I23" s="248">
        <v>0</v>
      </c>
      <c r="J23" s="248">
        <v>0</v>
      </c>
      <c r="K23" s="248">
        <v>0</v>
      </c>
      <c r="L23" s="248">
        <v>0</v>
      </c>
      <c r="M23" s="248">
        <v>0</v>
      </c>
      <c r="N23" s="248">
        <v>0</v>
      </c>
      <c r="O23" s="248">
        <v>2.5999999999999999E-2</v>
      </c>
      <c r="P23" s="248">
        <v>2.5999999999999999E-2</v>
      </c>
      <c r="Q23" t="s">
        <v>51</v>
      </c>
    </row>
    <row r="24" spans="1:17" x14ac:dyDescent="0.25">
      <c r="A24" s="722" t="s">
        <v>540</v>
      </c>
      <c r="B24" s="222"/>
      <c r="C24" s="222"/>
      <c r="D24" s="248">
        <v>135.41999999999999</v>
      </c>
      <c r="E24" s="248">
        <v>72.537999999999997</v>
      </c>
      <c r="F24" s="248">
        <v>10.331</v>
      </c>
      <c r="G24" s="248">
        <v>4.2670000000000003</v>
      </c>
      <c r="H24" s="248">
        <v>1.347</v>
      </c>
      <c r="I24" s="248">
        <v>0.67400000000000004</v>
      </c>
      <c r="J24" s="248">
        <v>0</v>
      </c>
      <c r="K24" s="248">
        <v>0</v>
      </c>
      <c r="L24" s="248">
        <v>0</v>
      </c>
      <c r="M24" s="248">
        <v>0</v>
      </c>
      <c r="N24" s="248">
        <v>0</v>
      </c>
      <c r="O24" s="248">
        <v>89.156999999999996</v>
      </c>
      <c r="P24" s="248">
        <v>89.156999999999996</v>
      </c>
      <c r="Q24" t="s">
        <v>541</v>
      </c>
    </row>
    <row r="25" spans="1:17" x14ac:dyDescent="0.25">
      <c r="A25" s="722" t="s">
        <v>542</v>
      </c>
      <c r="B25" s="222"/>
      <c r="C25" s="222"/>
      <c r="D25" s="248"/>
      <c r="E25" s="248"/>
      <c r="F25" s="248"/>
      <c r="G25" s="248"/>
      <c r="H25" s="248"/>
      <c r="I25" s="248"/>
      <c r="J25" s="248"/>
      <c r="K25" s="248"/>
      <c r="L25" s="248"/>
      <c r="M25" s="248"/>
      <c r="N25" s="248"/>
      <c r="O25" s="248"/>
      <c r="P25" s="248"/>
    </row>
    <row r="26" spans="1:17" x14ac:dyDescent="0.25">
      <c r="A26" s="722" t="s">
        <v>543</v>
      </c>
      <c r="B26" s="222"/>
      <c r="C26" s="222"/>
      <c r="D26" s="248">
        <v>40.831000000000003</v>
      </c>
      <c r="E26" s="248">
        <v>79.391999999999996</v>
      </c>
      <c r="F26" s="248">
        <v>47.442999999999998</v>
      </c>
      <c r="G26" s="248">
        <v>4.7220000000000004</v>
      </c>
      <c r="H26" s="248">
        <v>0</v>
      </c>
      <c r="I26" s="248">
        <v>0</v>
      </c>
      <c r="J26" s="248">
        <v>0</v>
      </c>
      <c r="K26" s="248">
        <v>0</v>
      </c>
      <c r="L26" s="248">
        <v>0</v>
      </c>
      <c r="M26" s="248">
        <v>0</v>
      </c>
      <c r="N26" s="248">
        <v>0</v>
      </c>
      <c r="O26" s="248">
        <v>131.55699999999999</v>
      </c>
      <c r="P26" s="248">
        <v>131.55699999999999</v>
      </c>
      <c r="Q26" t="s">
        <v>133</v>
      </c>
    </row>
    <row r="27" spans="1:17" x14ac:dyDescent="0.25">
      <c r="A27" s="722" t="s">
        <v>544</v>
      </c>
      <c r="B27" s="222"/>
      <c r="C27" s="222"/>
      <c r="D27" s="248">
        <v>58.054000000000002</v>
      </c>
      <c r="E27" s="248">
        <v>14.755000000000001</v>
      </c>
      <c r="F27" s="248">
        <v>3.4750000000000001</v>
      </c>
      <c r="G27" s="248">
        <v>3.9249999999999998</v>
      </c>
      <c r="H27" s="248">
        <v>4.375</v>
      </c>
      <c r="I27" s="248">
        <v>4.375</v>
      </c>
      <c r="J27" s="248">
        <v>4.5</v>
      </c>
      <c r="K27" s="248">
        <v>4.5</v>
      </c>
      <c r="L27" s="248">
        <v>4.5</v>
      </c>
      <c r="M27" s="248">
        <v>4.5</v>
      </c>
      <c r="N27" s="248">
        <v>4.5</v>
      </c>
      <c r="O27" s="248">
        <v>30.905000000000001</v>
      </c>
      <c r="P27" s="248">
        <v>53.405000000000001</v>
      </c>
    </row>
    <row r="28" spans="1:17" x14ac:dyDescent="0.25">
      <c r="A28" s="722" t="s">
        <v>545</v>
      </c>
      <c r="B28" s="222"/>
      <c r="C28" s="222"/>
      <c r="D28" s="248">
        <v>47.372999999999998</v>
      </c>
      <c r="E28" s="248">
        <v>-46.081000000000003</v>
      </c>
      <c r="F28" s="248">
        <v>0</v>
      </c>
      <c r="G28" s="248">
        <v>0</v>
      </c>
      <c r="H28" s="248">
        <v>0</v>
      </c>
      <c r="I28" s="248">
        <v>0</v>
      </c>
      <c r="J28" s="248">
        <v>0</v>
      </c>
      <c r="K28" s="248">
        <v>0</v>
      </c>
      <c r="L28" s="248">
        <v>0</v>
      </c>
      <c r="M28" s="248">
        <v>0</v>
      </c>
      <c r="N28" s="248">
        <v>0</v>
      </c>
      <c r="O28" s="248">
        <v>-46.081000000000003</v>
      </c>
      <c r="P28" s="248">
        <v>-46.081000000000003</v>
      </c>
      <c r="Q28" t="s">
        <v>55</v>
      </c>
    </row>
    <row r="29" spans="1:17" x14ac:dyDescent="0.25">
      <c r="A29" s="722" t="s">
        <v>546</v>
      </c>
      <c r="B29" s="222"/>
      <c r="C29" s="222"/>
      <c r="D29" s="248">
        <v>24.475000000000001</v>
      </c>
      <c r="E29" s="248">
        <v>32.784999999999997</v>
      </c>
      <c r="F29" s="248">
        <v>8.4600000000000009</v>
      </c>
      <c r="G29" s="248">
        <v>0</v>
      </c>
      <c r="H29" s="248">
        <v>0</v>
      </c>
      <c r="I29" s="248">
        <v>0</v>
      </c>
      <c r="J29" s="248">
        <v>0</v>
      </c>
      <c r="K29" s="248">
        <v>0</v>
      </c>
      <c r="L29" s="248">
        <v>0</v>
      </c>
      <c r="M29" s="248">
        <v>0</v>
      </c>
      <c r="N29" s="248">
        <v>0</v>
      </c>
      <c r="O29" s="248">
        <v>41.244999999999997</v>
      </c>
      <c r="P29" s="248">
        <v>41.244999999999997</v>
      </c>
      <c r="Q29" t="s">
        <v>547</v>
      </c>
    </row>
    <row r="30" spans="1:17" x14ac:dyDescent="0.25">
      <c r="A30" s="722" t="s">
        <v>548</v>
      </c>
      <c r="B30" s="222"/>
      <c r="C30" s="222"/>
      <c r="D30" s="248">
        <v>27.5</v>
      </c>
      <c r="E30" s="248">
        <v>0.86</v>
      </c>
      <c r="F30" s="248">
        <v>-0.22</v>
      </c>
      <c r="G30" s="248">
        <v>-0.49</v>
      </c>
      <c r="H30" s="248">
        <v>-0.56000000000000005</v>
      </c>
      <c r="I30" s="248">
        <v>-0.98</v>
      </c>
      <c r="J30" s="248">
        <v>-0.76</v>
      </c>
      <c r="K30" s="248">
        <v>-0.74</v>
      </c>
      <c r="L30" s="248">
        <v>-0.72</v>
      </c>
      <c r="M30" s="248">
        <v>-0.7</v>
      </c>
      <c r="N30" s="248">
        <v>-0.69</v>
      </c>
      <c r="O30" s="248">
        <v>-1.39</v>
      </c>
      <c r="P30" s="248">
        <v>-5</v>
      </c>
      <c r="Q30" t="s">
        <v>52</v>
      </c>
    </row>
    <row r="31" spans="1:17" x14ac:dyDescent="0.25">
      <c r="A31" s="722" t="s">
        <v>150</v>
      </c>
      <c r="B31" s="222"/>
      <c r="C31" s="222"/>
      <c r="D31" s="248">
        <v>11.407999999999999</v>
      </c>
      <c r="E31" s="248">
        <v>10.763</v>
      </c>
      <c r="F31" s="248">
        <v>5.7809999999999997</v>
      </c>
      <c r="G31" s="248">
        <v>0.92300000000000004</v>
      </c>
      <c r="H31" s="248">
        <v>0.52300000000000002</v>
      </c>
      <c r="I31" s="248">
        <v>0.43099999999999999</v>
      </c>
      <c r="J31" s="248">
        <v>0.246</v>
      </c>
      <c r="K31" s="248">
        <v>0</v>
      </c>
      <c r="L31" s="248">
        <v>0</v>
      </c>
      <c r="M31" s="248">
        <v>0</v>
      </c>
      <c r="N31" s="248">
        <v>0</v>
      </c>
      <c r="O31" s="248">
        <v>18.420999999999999</v>
      </c>
      <c r="P31" s="248">
        <v>18.667000000000002</v>
      </c>
      <c r="Q31" t="s">
        <v>549</v>
      </c>
    </row>
    <row r="32" spans="1:17" x14ac:dyDescent="0.25">
      <c r="A32" s="722" t="s">
        <v>550</v>
      </c>
      <c r="B32" s="222"/>
      <c r="C32" s="222"/>
      <c r="D32" s="248">
        <v>99.444000000000003</v>
      </c>
      <c r="E32" s="248">
        <v>61.634</v>
      </c>
      <c r="F32" s="248">
        <v>23.815000000000001</v>
      </c>
      <c r="G32" s="248">
        <v>7.35</v>
      </c>
      <c r="H32" s="248">
        <v>4.4029999999999996</v>
      </c>
      <c r="I32" s="248">
        <v>1.663</v>
      </c>
      <c r="J32" s="248">
        <v>0.74399999999999999</v>
      </c>
      <c r="K32" s="248">
        <v>0.65500000000000003</v>
      </c>
      <c r="L32" s="248">
        <v>0.68799999999999994</v>
      </c>
      <c r="M32" s="248">
        <v>10.603</v>
      </c>
      <c r="N32" s="248">
        <v>-35.328000000000003</v>
      </c>
      <c r="O32" s="248">
        <v>98.864999999999995</v>
      </c>
      <c r="P32" s="248">
        <v>76.227000000000004</v>
      </c>
      <c r="Q32" t="s">
        <v>551</v>
      </c>
    </row>
    <row r="33" spans="1:16" x14ac:dyDescent="0.25">
      <c r="A33" s="722"/>
      <c r="B33" s="222"/>
      <c r="C33" s="222"/>
      <c r="D33" s="248"/>
      <c r="E33" s="248"/>
      <c r="F33" s="248"/>
      <c r="G33" s="248"/>
      <c r="H33" s="248"/>
      <c r="I33" s="248"/>
      <c r="J33" s="248"/>
      <c r="K33" s="248"/>
      <c r="L33" s="248"/>
      <c r="M33" s="248"/>
      <c r="N33" s="248"/>
      <c r="O33" s="248"/>
      <c r="P33" s="248"/>
    </row>
    <row r="34" spans="1:16" x14ac:dyDescent="0.25">
      <c r="A34" s="1098"/>
      <c r="B34" s="1098"/>
      <c r="C34" s="1098" t="s">
        <v>312</v>
      </c>
      <c r="D34" s="1101">
        <v>1777.13</v>
      </c>
      <c r="E34" s="1101">
        <v>307.48399999999998</v>
      </c>
      <c r="F34" s="1101">
        <v>99.084999999999994</v>
      </c>
      <c r="G34" s="1101">
        <v>20.696999999999999</v>
      </c>
      <c r="H34" s="1101">
        <v>10.087999999999999</v>
      </c>
      <c r="I34" s="1101">
        <v>6.1630000000000003</v>
      </c>
      <c r="J34" s="1101">
        <v>4.7300000000000004</v>
      </c>
      <c r="K34" s="1101">
        <v>4.415</v>
      </c>
      <c r="L34" s="1101">
        <v>4.468</v>
      </c>
      <c r="M34" s="1101">
        <v>14.403</v>
      </c>
      <c r="N34" s="1101">
        <v>-31.518000000000001</v>
      </c>
      <c r="O34" s="1101">
        <v>443.517</v>
      </c>
      <c r="P34" s="1101">
        <v>440.01499999999999</v>
      </c>
    </row>
    <row r="35" spans="1:16" x14ac:dyDescent="0.25">
      <c r="A35" s="222"/>
      <c r="B35" s="222"/>
      <c r="C35" s="222"/>
      <c r="D35" s="1097"/>
      <c r="E35" s="481"/>
      <c r="F35" s="722"/>
      <c r="G35" s="722"/>
      <c r="H35" s="722"/>
      <c r="I35" s="722"/>
      <c r="J35" s="722"/>
      <c r="K35" s="722"/>
      <c r="L35" s="722"/>
      <c r="M35" s="722"/>
      <c r="N35" s="722"/>
      <c r="O35" s="722"/>
      <c r="P35" s="722"/>
    </row>
    <row r="36" spans="1:16" x14ac:dyDescent="0.25">
      <c r="A36" s="1091" t="s">
        <v>552</v>
      </c>
      <c r="B36" s="1091"/>
      <c r="C36" s="1091"/>
      <c r="D36" s="1092"/>
      <c r="E36" s="1091"/>
      <c r="F36" s="1091"/>
      <c r="G36" s="1091"/>
      <c r="H36" s="1091"/>
      <c r="I36" s="1091"/>
      <c r="J36" s="1091"/>
      <c r="K36" s="1091"/>
      <c r="L36" s="1091"/>
      <c r="M36" s="1091"/>
      <c r="N36" s="1091"/>
      <c r="O36" s="1091"/>
      <c r="P36" s="1091"/>
    </row>
    <row r="37" spans="1:16" x14ac:dyDescent="0.25">
      <c r="A37" s="1091"/>
      <c r="B37" s="1091"/>
      <c r="C37" s="1091"/>
      <c r="D37" s="1092"/>
      <c r="E37" s="1091"/>
      <c r="F37" s="1091"/>
      <c r="G37" s="1091"/>
      <c r="H37" s="1091"/>
      <c r="I37" s="1091"/>
      <c r="J37" s="1091"/>
      <c r="K37" s="1091"/>
      <c r="L37" s="1091"/>
      <c r="M37" s="1091"/>
      <c r="N37" s="1091"/>
      <c r="O37" s="1091"/>
      <c r="P37" s="1091"/>
    </row>
    <row r="38" spans="1:16" x14ac:dyDescent="0.25">
      <c r="A38" s="1509" t="s">
        <v>553</v>
      </c>
      <c r="B38" s="1509"/>
      <c r="C38" s="1509"/>
      <c r="D38" s="1509"/>
      <c r="E38" s="1509"/>
      <c r="F38" s="1509"/>
      <c r="G38" s="1509"/>
      <c r="H38" s="1509"/>
      <c r="I38" s="1509"/>
      <c r="J38" s="1509"/>
      <c r="K38" s="1509"/>
      <c r="L38" s="1509"/>
      <c r="M38" s="1509"/>
      <c r="N38" s="1509"/>
      <c r="O38" s="1509"/>
      <c r="P38" s="1509"/>
    </row>
    <row r="39" spans="1:16" x14ac:dyDescent="0.25">
      <c r="A39" s="1509"/>
      <c r="B39" s="1509"/>
      <c r="C39" s="1509"/>
      <c r="D39" s="1509"/>
      <c r="E39" s="1509"/>
      <c r="F39" s="1509"/>
      <c r="G39" s="1509"/>
      <c r="H39" s="1509"/>
      <c r="I39" s="1509"/>
      <c r="J39" s="1509"/>
      <c r="K39" s="1509"/>
      <c r="L39" s="1509"/>
      <c r="M39" s="1509"/>
      <c r="N39" s="1509"/>
      <c r="O39" s="1509"/>
      <c r="P39" s="1509"/>
    </row>
    <row r="40" spans="1:16" x14ac:dyDescent="0.25">
      <c r="A40" s="1509"/>
      <c r="B40" s="1509"/>
      <c r="C40" s="1509"/>
      <c r="D40" s="1509"/>
      <c r="E40" s="1509"/>
      <c r="F40" s="1509"/>
      <c r="G40" s="1509"/>
      <c r="H40" s="1509"/>
      <c r="I40" s="1509"/>
      <c r="J40" s="1509"/>
      <c r="K40" s="1509"/>
      <c r="L40" s="1509"/>
      <c r="M40" s="1509"/>
      <c r="N40" s="1509"/>
      <c r="O40" s="1509"/>
      <c r="P40" s="1509"/>
    </row>
    <row r="41" spans="1:16" x14ac:dyDescent="0.25">
      <c r="A41" s="1509"/>
      <c r="B41" s="1509"/>
      <c r="C41" s="1509"/>
      <c r="D41" s="1509"/>
      <c r="E41" s="1509"/>
      <c r="F41" s="1509"/>
      <c r="G41" s="1509"/>
      <c r="H41" s="1509"/>
      <c r="I41" s="1509"/>
      <c r="J41" s="1509"/>
      <c r="K41" s="1509"/>
      <c r="L41" s="1509"/>
      <c r="M41" s="1509"/>
      <c r="N41" s="1509"/>
      <c r="O41" s="1509"/>
      <c r="P41" s="1509"/>
    </row>
    <row r="42" spans="1:16" x14ac:dyDescent="0.25">
      <c r="A42" s="1509"/>
      <c r="B42" s="1509"/>
      <c r="C42" s="1509"/>
      <c r="D42" s="1509"/>
      <c r="E42" s="1509"/>
      <c r="F42" s="1509"/>
      <c r="G42" s="1509"/>
      <c r="H42" s="1509"/>
      <c r="I42" s="1509"/>
      <c r="J42" s="1509"/>
      <c r="K42" s="1509"/>
      <c r="L42" s="1509"/>
      <c r="M42" s="1509"/>
      <c r="N42" s="1509"/>
      <c r="O42" s="1509"/>
      <c r="P42" s="1509"/>
    </row>
    <row r="43" spans="1:16" x14ac:dyDescent="0.25">
      <c r="A43" s="229"/>
      <c r="B43" s="229"/>
      <c r="C43" s="229"/>
      <c r="D43" s="229"/>
      <c r="E43" s="229"/>
      <c r="F43" s="229"/>
      <c r="G43" s="229"/>
      <c r="H43" s="229"/>
      <c r="I43" s="229"/>
      <c r="J43" s="229"/>
      <c r="K43" s="229"/>
      <c r="L43" s="229"/>
      <c r="M43" s="229"/>
      <c r="N43" s="229"/>
      <c r="O43" s="229"/>
      <c r="P43" s="229"/>
    </row>
    <row r="44" spans="1:16" x14ac:dyDescent="0.25">
      <c r="A44" s="1396" t="s">
        <v>554</v>
      </c>
      <c r="B44" s="1396"/>
      <c r="C44" s="1396"/>
      <c r="D44" s="1396"/>
      <c r="E44" s="1396"/>
      <c r="F44" s="1396"/>
      <c r="G44" s="1396"/>
      <c r="H44" s="1396"/>
      <c r="I44" s="1396"/>
      <c r="J44" s="1396"/>
      <c r="K44" s="1396"/>
      <c r="L44" s="1396"/>
      <c r="M44" s="1396"/>
      <c r="N44" s="1396"/>
      <c r="O44" s="1396"/>
      <c r="P44" s="1396"/>
    </row>
    <row r="45" spans="1:16" x14ac:dyDescent="0.25">
      <c r="A45" s="1396"/>
      <c r="B45" s="1396"/>
      <c r="C45" s="1396"/>
      <c r="D45" s="1396"/>
      <c r="E45" s="1396"/>
      <c r="F45" s="1396"/>
      <c r="G45" s="1396"/>
      <c r="H45" s="1396"/>
      <c r="I45" s="1396"/>
      <c r="J45" s="1396"/>
      <c r="K45" s="1396"/>
      <c r="L45" s="1396"/>
      <c r="M45" s="1396"/>
      <c r="N45" s="1396"/>
      <c r="O45" s="1396"/>
      <c r="P45" s="1396"/>
    </row>
    <row r="46" spans="1:16" x14ac:dyDescent="0.25">
      <c r="A46" s="1396"/>
      <c r="B46" s="1396"/>
      <c r="C46" s="1396"/>
      <c r="D46" s="1396"/>
      <c r="E46" s="1396"/>
      <c r="F46" s="1396"/>
      <c r="G46" s="1396"/>
      <c r="H46" s="1396"/>
      <c r="I46" s="1396"/>
      <c r="J46" s="1396"/>
      <c r="K46" s="1396"/>
      <c r="L46" s="1396"/>
      <c r="M46" s="1396"/>
      <c r="N46" s="1396"/>
      <c r="O46" s="1396"/>
      <c r="P46" s="1396"/>
    </row>
    <row r="47" spans="1:16" x14ac:dyDescent="0.25">
      <c r="A47" s="1091"/>
      <c r="B47" s="1091"/>
      <c r="C47" s="1091"/>
      <c r="D47" s="1092"/>
      <c r="E47" s="1091"/>
      <c r="F47" s="1091"/>
      <c r="G47" s="1091"/>
      <c r="H47" s="1091"/>
      <c r="I47" s="1091"/>
      <c r="J47" s="1091"/>
      <c r="K47" s="1091"/>
      <c r="L47" s="1091"/>
      <c r="M47" s="1091"/>
      <c r="N47" s="1091"/>
      <c r="O47" s="1091"/>
      <c r="P47" s="1091"/>
    </row>
    <row r="48" spans="1:16" x14ac:dyDescent="0.25">
      <c r="A48" s="1507" t="s">
        <v>555</v>
      </c>
      <c r="B48" s="1508"/>
      <c r="C48" s="1508"/>
      <c r="D48" s="1508"/>
      <c r="E48" s="1508"/>
      <c r="F48" s="1508"/>
      <c r="G48" s="1508"/>
      <c r="H48" s="1508"/>
      <c r="I48" s="1508"/>
      <c r="J48" s="1508"/>
      <c r="K48" s="1508"/>
      <c r="L48" s="1508"/>
      <c r="M48" s="1508"/>
      <c r="N48" s="1508"/>
      <c r="O48" s="1508"/>
      <c r="P48" s="1508"/>
    </row>
    <row r="49" spans="1:16" x14ac:dyDescent="0.25">
      <c r="A49" s="1508"/>
      <c r="B49" s="1508"/>
      <c r="C49" s="1508"/>
      <c r="D49" s="1508"/>
      <c r="E49" s="1508"/>
      <c r="F49" s="1508"/>
      <c r="G49" s="1508"/>
      <c r="H49" s="1508"/>
      <c r="I49" s="1508"/>
      <c r="J49" s="1508"/>
      <c r="K49" s="1508"/>
      <c r="L49" s="1508"/>
      <c r="M49" s="1508"/>
      <c r="N49" s="1508"/>
      <c r="O49" s="1508"/>
      <c r="P49" s="1508"/>
    </row>
    <row r="50" spans="1:16" x14ac:dyDescent="0.25">
      <c r="A50" s="1091"/>
      <c r="B50" s="1091"/>
      <c r="C50" s="1091"/>
      <c r="D50" s="1092"/>
      <c r="E50" s="1091"/>
      <c r="F50" s="1091"/>
      <c r="G50" s="1091"/>
      <c r="H50" s="1091"/>
      <c r="I50" s="1091"/>
      <c r="J50" s="1091"/>
      <c r="K50" s="1091"/>
      <c r="L50" s="1091"/>
      <c r="M50" s="1091"/>
      <c r="N50" s="1091"/>
      <c r="O50" s="1091"/>
      <c r="P50" s="1091"/>
    </row>
    <row r="51" spans="1:16" x14ac:dyDescent="0.25">
      <c r="A51" s="1503" t="s">
        <v>556</v>
      </c>
      <c r="B51" s="1503"/>
      <c r="C51" s="1503"/>
      <c r="D51" s="1503"/>
      <c r="E51" s="1503"/>
      <c r="F51" s="1503"/>
      <c r="G51" s="1503"/>
      <c r="H51" s="1503"/>
      <c r="I51" s="1503"/>
      <c r="J51" s="1503"/>
      <c r="K51" s="1503"/>
      <c r="L51" s="1503"/>
      <c r="M51" s="1503"/>
      <c r="N51" s="1503"/>
      <c r="O51" s="1503"/>
      <c r="P51" s="1503"/>
    </row>
    <row r="52" spans="1:16" x14ac:dyDescent="0.25">
      <c r="A52" s="1503"/>
      <c r="B52" s="1503"/>
      <c r="C52" s="1503"/>
      <c r="D52" s="1503"/>
      <c r="E52" s="1503"/>
      <c r="F52" s="1503"/>
      <c r="G52" s="1503"/>
      <c r="H52" s="1503"/>
      <c r="I52" s="1503"/>
      <c r="J52" s="1503"/>
      <c r="K52" s="1503"/>
      <c r="L52" s="1503"/>
      <c r="M52" s="1503"/>
      <c r="N52" s="1503"/>
      <c r="O52" s="1503"/>
      <c r="P52" s="1503"/>
    </row>
    <row r="53" spans="1:16" x14ac:dyDescent="0.25">
      <c r="A53" s="1503"/>
      <c r="B53" s="1503"/>
      <c r="C53" s="1503"/>
      <c r="D53" s="1503"/>
      <c r="E53" s="1503"/>
      <c r="F53" s="1503"/>
      <c r="G53" s="1503"/>
      <c r="H53" s="1503"/>
      <c r="I53" s="1503"/>
      <c r="J53" s="1503"/>
      <c r="K53" s="1503"/>
      <c r="L53" s="1503"/>
      <c r="M53" s="1503"/>
      <c r="N53" s="1503"/>
      <c r="O53" s="1503"/>
      <c r="P53" s="1503"/>
    </row>
    <row r="54" spans="1:16" x14ac:dyDescent="0.25">
      <c r="A54" s="1093"/>
      <c r="B54" s="1093"/>
      <c r="C54" s="1093"/>
      <c r="D54" s="1094"/>
      <c r="E54" s="1093"/>
      <c r="F54" s="1093"/>
      <c r="G54" s="1093"/>
      <c r="H54" s="1093"/>
      <c r="I54" s="1093"/>
      <c r="J54" s="1093"/>
      <c r="K54" s="1093"/>
      <c r="L54" s="1093"/>
      <c r="M54" s="1093"/>
      <c r="N54" s="1093"/>
      <c r="O54" s="1093"/>
      <c r="P54" s="1093"/>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 workbookViewId="0">
      <selection activeCell="N200" sqref="N200"/>
    </sheetView>
  </sheetViews>
  <sheetFormatPr defaultColWidth="10.85546875" defaultRowHeight="15" x14ac:dyDescent="0.25"/>
  <cols>
    <col min="1" max="1" width="36" customWidth="1"/>
    <col min="2" max="2" width="15.5703125" customWidth="1"/>
    <col min="3" max="19" width="10.7109375" customWidth="1"/>
    <col min="20" max="20" width="125.85546875" customWidth="1"/>
  </cols>
  <sheetData>
    <row r="1" spans="1:19" x14ac:dyDescent="0.25">
      <c r="A1" s="633" t="s">
        <v>1391</v>
      </c>
      <c r="D1" s="1180">
        <v>2022</v>
      </c>
      <c r="E1" s="1180">
        <v>2023</v>
      </c>
      <c r="F1" s="1180">
        <v>2024</v>
      </c>
      <c r="G1" s="1180">
        <v>2025</v>
      </c>
      <c r="H1" s="1180">
        <v>2026</v>
      </c>
      <c r="I1" s="1180">
        <v>2027</v>
      </c>
      <c r="J1" s="1180">
        <v>2028</v>
      </c>
      <c r="K1" s="1180">
        <v>2029</v>
      </c>
      <c r="L1" s="1180">
        <v>2030</v>
      </c>
      <c r="M1" s="1181">
        <v>2031</v>
      </c>
      <c r="N1" s="1182" t="s">
        <v>1193</v>
      </c>
      <c r="O1" s="1182" t="s">
        <v>1194</v>
      </c>
      <c r="P1" s="1167"/>
      <c r="Q1" s="1167"/>
      <c r="R1" s="1167"/>
      <c r="S1" s="1167"/>
    </row>
    <row r="2" spans="1:19" x14ac:dyDescent="0.25">
      <c r="C2" s="1510" t="s">
        <v>1392</v>
      </c>
      <c r="D2" s="1510"/>
      <c r="E2" s="1510"/>
      <c r="F2" s="1510"/>
      <c r="G2" s="1510"/>
      <c r="H2" s="1510"/>
      <c r="I2" s="1510"/>
      <c r="J2" s="1510"/>
      <c r="K2" s="1510"/>
      <c r="L2" s="1510"/>
      <c r="M2" s="1510"/>
      <c r="N2" s="1510"/>
      <c r="O2" s="1510"/>
      <c r="P2" s="1166"/>
      <c r="Q2" s="1166"/>
      <c r="R2" s="1166"/>
      <c r="S2" s="1166"/>
    </row>
    <row r="3" spans="1:19" x14ac:dyDescent="0.2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2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2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2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2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2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2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2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2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2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2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2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2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2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2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2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2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2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2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2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2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2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2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2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2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2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2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2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2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2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2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2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2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2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2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2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2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2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25">
      <c r="C42" s="1511" t="s">
        <v>1402</v>
      </c>
      <c r="D42" s="1511"/>
      <c r="E42" s="1511"/>
      <c r="F42" s="1511"/>
      <c r="G42" s="1511"/>
      <c r="H42" s="1511"/>
      <c r="I42" s="1511"/>
      <c r="J42" s="1511"/>
      <c r="K42" s="1511"/>
      <c r="L42" s="1511"/>
      <c r="M42" s="1511"/>
      <c r="N42" s="1511"/>
      <c r="O42" s="1511"/>
      <c r="P42" s="1166"/>
      <c r="Q42" s="1166"/>
      <c r="R42" s="1166"/>
      <c r="S42" s="1166"/>
    </row>
    <row r="43" spans="1:19" x14ac:dyDescent="0.2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2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2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2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2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2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2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2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2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2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2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2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2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25">
      <c r="A56" s="35" t="s">
        <v>1421</v>
      </c>
      <c r="B56" s="35">
        <v>60113</v>
      </c>
      <c r="C56" s="35" t="s">
        <v>1404</v>
      </c>
      <c r="D56" s="35">
        <v>0</v>
      </c>
      <c r="E56" s="35">
        <v>0</v>
      </c>
      <c r="F56" s="35">
        <v>0</v>
      </c>
      <c r="G56" s="35">
        <v>0</v>
      </c>
      <c r="H56" s="35">
        <v>850</v>
      </c>
      <c r="I56" s="183">
        <v>1350</v>
      </c>
      <c r="J56" s="183">
        <v>1400</v>
      </c>
      <c r="K56" s="183">
        <v>1200</v>
      </c>
      <c r="L56" s="183">
        <v>1050</v>
      </c>
      <c r="M56" s="35">
        <v>500</v>
      </c>
      <c r="N56" s="35">
        <v>850</v>
      </c>
      <c r="O56" s="183">
        <v>6350</v>
      </c>
      <c r="P56" s="183"/>
      <c r="Q56" s="183"/>
      <c r="R56" s="183"/>
      <c r="S56" s="183"/>
    </row>
    <row r="57" spans="1:19" x14ac:dyDescent="0.2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2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2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25">
      <c r="A60" s="1183" t="s">
        <v>1423</v>
      </c>
      <c r="B60" s="1184">
        <v>10301</v>
      </c>
      <c r="C60" s="1184" t="s">
        <v>239</v>
      </c>
      <c r="D60" s="1184">
        <v>0</v>
      </c>
      <c r="E60" s="1185">
        <v>2012</v>
      </c>
      <c r="F60" s="1185">
        <v>5106</v>
      </c>
      <c r="G60" s="1185">
        <v>11125</v>
      </c>
      <c r="H60" s="1185">
        <v>16116</v>
      </c>
      <c r="I60" s="1185">
        <v>21716</v>
      </c>
      <c r="J60" s="1185">
        <v>26314</v>
      </c>
      <c r="K60" s="1185">
        <v>31218</v>
      </c>
      <c r="L60" s="1185">
        <v>34877</v>
      </c>
      <c r="M60" s="1185">
        <v>31904</v>
      </c>
      <c r="N60" s="1185">
        <v>34359</v>
      </c>
      <c r="O60" s="1186">
        <v>180388</v>
      </c>
      <c r="P60" s="183"/>
      <c r="Q60" s="183"/>
      <c r="R60" s="183"/>
      <c r="S60" s="183"/>
    </row>
    <row r="61" spans="1:19" x14ac:dyDescent="0.2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2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2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2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25">
      <c r="D67" s="1187">
        <v>2022</v>
      </c>
      <c r="E67" s="1187">
        <v>2023</v>
      </c>
      <c r="F67" s="1187">
        <v>2024</v>
      </c>
      <c r="G67" s="1187">
        <v>2025</v>
      </c>
      <c r="H67" s="1187">
        <v>2026</v>
      </c>
      <c r="I67" s="1187">
        <v>2027</v>
      </c>
      <c r="J67" s="1187">
        <v>2028</v>
      </c>
      <c r="K67" s="1187">
        <v>2029</v>
      </c>
      <c r="L67" s="1187">
        <v>2030</v>
      </c>
      <c r="M67" s="1188">
        <v>2031</v>
      </c>
      <c r="N67" s="1167" t="s">
        <v>1373</v>
      </c>
      <c r="O67" s="1189" t="s">
        <v>1374</v>
      </c>
      <c r="P67" s="1167"/>
      <c r="Q67" s="1167"/>
      <c r="R67" s="1167"/>
      <c r="S67" s="1167"/>
    </row>
    <row r="68" spans="3:19" x14ac:dyDescent="0.25">
      <c r="C68" s="1512" t="s">
        <v>1432</v>
      </c>
      <c r="D68" s="1513"/>
      <c r="E68" s="1513"/>
      <c r="F68" s="1513"/>
      <c r="G68" s="1513"/>
      <c r="H68" s="1513"/>
      <c r="I68" s="1513"/>
      <c r="J68" s="1513"/>
      <c r="K68" s="1513"/>
      <c r="L68" s="1513"/>
      <c r="M68" s="1513"/>
      <c r="N68" s="1513"/>
      <c r="O68" s="1514"/>
      <c r="P68" s="1166"/>
      <c r="Q68" s="1166"/>
      <c r="R68" s="1166"/>
      <c r="S68" s="1166"/>
    </row>
    <row r="69" spans="3:19" x14ac:dyDescent="0.2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2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05">
        <f t="shared" si="1"/>
        <v>2000</v>
      </c>
      <c r="P70" s="35"/>
      <c r="Q70" s="35"/>
      <c r="R70" s="35"/>
      <c r="S70" s="35"/>
    </row>
    <row r="71" spans="3:19" x14ac:dyDescent="0.2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05">
        <f t="shared" si="2"/>
        <v>18248</v>
      </c>
      <c r="P71" s="35"/>
      <c r="Q71" s="35"/>
      <c r="R71" s="35"/>
      <c r="S71" s="35"/>
    </row>
    <row r="72" spans="3:19" x14ac:dyDescent="0.2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05">
        <f t="shared" si="3"/>
        <v>-248219</v>
      </c>
      <c r="P72" s="35"/>
      <c r="Q72" s="35"/>
      <c r="R72" s="35"/>
      <c r="S72" s="35"/>
    </row>
    <row r="73" spans="3:19" x14ac:dyDescent="0.2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05">
        <f t="shared" si="4"/>
        <v>46384</v>
      </c>
      <c r="P73" s="35"/>
      <c r="Q73" s="35"/>
      <c r="R73" s="35"/>
      <c r="S73" s="35"/>
    </row>
    <row r="74" spans="3:19" x14ac:dyDescent="0.2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305">
        <f t="shared" si="5"/>
        <v>16463</v>
      </c>
      <c r="O74" s="206">
        <f t="shared" si="5"/>
        <v>55153</v>
      </c>
      <c r="P74" s="35"/>
      <c r="Q74" s="35"/>
      <c r="R74" s="35"/>
      <c r="S74" s="35"/>
    </row>
    <row r="75" spans="3:19" x14ac:dyDescent="0.25">
      <c r="C75" s="1512" t="s">
        <v>1433</v>
      </c>
      <c r="D75" s="1513"/>
      <c r="E75" s="1513"/>
      <c r="F75" s="1513"/>
      <c r="G75" s="1513"/>
      <c r="H75" s="1513"/>
      <c r="I75" s="1513"/>
      <c r="J75" s="1513"/>
      <c r="K75" s="1513"/>
      <c r="L75" s="1513"/>
      <c r="M75" s="1513"/>
      <c r="N75" s="1513"/>
      <c r="O75" s="1514"/>
      <c r="P75" s="1166"/>
      <c r="Q75" s="1166"/>
      <c r="R75" s="1166"/>
      <c r="S75" s="1166"/>
    </row>
    <row r="76" spans="3:19" x14ac:dyDescent="0.25">
      <c r="C76" s="47" t="s">
        <v>385</v>
      </c>
      <c r="D76" s="35">
        <v>0</v>
      </c>
      <c r="E76" s="35">
        <v>596</v>
      </c>
      <c r="F76" s="35">
        <v>1406</v>
      </c>
      <c r="G76" s="35">
        <v>1885</v>
      </c>
      <c r="H76" s="35">
        <v>2113</v>
      </c>
      <c r="I76" s="35">
        <v>2058</v>
      </c>
      <c r="J76" s="35">
        <v>1745</v>
      </c>
      <c r="K76" s="35">
        <v>1369</v>
      </c>
      <c r="L76" s="35">
        <v>970</v>
      </c>
      <c r="M76" s="35">
        <v>369</v>
      </c>
      <c r="N76" s="748">
        <v>6000</v>
      </c>
      <c r="O76" s="438">
        <v>12511</v>
      </c>
      <c r="P76" s="35"/>
      <c r="Q76" s="35"/>
      <c r="R76" s="35"/>
      <c r="S76" s="35"/>
    </row>
    <row r="77" spans="3:19" x14ac:dyDescent="0.25">
      <c r="C77" s="47" t="s">
        <v>134</v>
      </c>
      <c r="D77" s="35">
        <v>0</v>
      </c>
      <c r="E77" s="35">
        <v>754</v>
      </c>
      <c r="F77" s="35">
        <v>2328</v>
      </c>
      <c r="G77" s="35">
        <v>3782</v>
      </c>
      <c r="H77" s="35">
        <v>5158</v>
      </c>
      <c r="I77" s="35">
        <v>4539</v>
      </c>
      <c r="J77" s="35">
        <v>3010</v>
      </c>
      <c r="K77" s="35">
        <v>1730</v>
      </c>
      <c r="L77" s="35">
        <v>790</v>
      </c>
      <c r="M77" s="35">
        <v>244</v>
      </c>
      <c r="N77" s="47">
        <v>12022</v>
      </c>
      <c r="O77" s="205">
        <v>22335</v>
      </c>
      <c r="P77" s="35"/>
      <c r="Q77" s="35"/>
      <c r="R77" s="35"/>
      <c r="S77" s="35"/>
    </row>
    <row r="78" spans="3:19" x14ac:dyDescent="0.25">
      <c r="C78" s="47" t="s">
        <v>192</v>
      </c>
      <c r="D78" s="35">
        <v>0</v>
      </c>
      <c r="E78" s="35">
        <v>68</v>
      </c>
      <c r="F78" s="35">
        <v>1363</v>
      </c>
      <c r="G78" s="35">
        <v>2433</v>
      </c>
      <c r="H78" s="35">
        <v>2803</v>
      </c>
      <c r="I78" s="35">
        <v>1741</v>
      </c>
      <c r="J78" s="35">
        <v>570</v>
      </c>
      <c r="K78" s="35">
        <v>35</v>
      </c>
      <c r="L78" s="35">
        <v>0</v>
      </c>
      <c r="M78" s="35">
        <v>0</v>
      </c>
      <c r="N78" s="47">
        <v>6667</v>
      </c>
      <c r="O78" s="205">
        <v>9013</v>
      </c>
      <c r="P78" s="35"/>
      <c r="Q78" s="35"/>
      <c r="R78" s="35"/>
      <c r="S78" s="35"/>
    </row>
    <row r="79" spans="3:19" x14ac:dyDescent="0.25">
      <c r="C79" s="47" t="s">
        <v>52</v>
      </c>
      <c r="D79" s="35">
        <v>0</v>
      </c>
      <c r="E79" s="35">
        <v>81</v>
      </c>
      <c r="F79" s="35">
        <v>350</v>
      </c>
      <c r="G79" s="35">
        <v>1354</v>
      </c>
      <c r="H79" s="35">
        <v>2869</v>
      </c>
      <c r="I79" s="35">
        <v>3890</v>
      </c>
      <c r="J79" s="35">
        <v>3430</v>
      </c>
      <c r="K79" s="35">
        <v>2260</v>
      </c>
      <c r="L79" s="35">
        <v>1320</v>
      </c>
      <c r="M79" s="35">
        <v>665</v>
      </c>
      <c r="N79" s="47">
        <v>4654</v>
      </c>
      <c r="O79" s="205">
        <v>16219</v>
      </c>
      <c r="P79" s="35"/>
      <c r="Q79" s="35"/>
      <c r="R79" s="35"/>
      <c r="S79" s="35"/>
    </row>
    <row r="80" spans="3:19" x14ac:dyDescent="0.25">
      <c r="C80" s="47" t="s">
        <v>57</v>
      </c>
      <c r="D80" s="35">
        <v>0</v>
      </c>
      <c r="E80" s="35">
        <v>794</v>
      </c>
      <c r="F80" s="35">
        <v>3183</v>
      </c>
      <c r="G80" s="35">
        <v>5818</v>
      </c>
      <c r="H80" s="35">
        <v>7253</v>
      </c>
      <c r="I80" s="35">
        <v>5628</v>
      </c>
      <c r="J80" s="35">
        <v>1977</v>
      </c>
      <c r="K80" s="35">
        <v>229</v>
      </c>
      <c r="L80" s="35">
        <v>33</v>
      </c>
      <c r="M80" s="35">
        <v>1</v>
      </c>
      <c r="N80" s="47">
        <v>17048</v>
      </c>
      <c r="O80" s="205">
        <v>24916</v>
      </c>
      <c r="P80" s="35"/>
      <c r="Q80" s="35"/>
      <c r="R80" s="35"/>
      <c r="S80" s="35"/>
    </row>
    <row r="81" spans="1:20" x14ac:dyDescent="0.25">
      <c r="C81" s="47"/>
      <c r="N81" s="305"/>
      <c r="O81" s="206"/>
      <c r="P81" s="35"/>
      <c r="Q81" s="35"/>
      <c r="R81" s="35"/>
      <c r="S81" s="35"/>
    </row>
    <row r="82" spans="1:20" x14ac:dyDescent="0.25">
      <c r="C82" s="1512" t="s">
        <v>1402</v>
      </c>
      <c r="D82" s="1513"/>
      <c r="E82" s="1513"/>
      <c r="F82" s="1513"/>
      <c r="G82" s="1513"/>
      <c r="H82" s="1513"/>
      <c r="I82" s="1513"/>
      <c r="J82" s="1513"/>
      <c r="K82" s="1513"/>
      <c r="L82" s="1513"/>
      <c r="M82" s="1513"/>
      <c r="N82" s="1513"/>
      <c r="O82" s="1514"/>
      <c r="P82" s="1166"/>
      <c r="Q82" s="1166"/>
      <c r="R82" s="1166"/>
      <c r="S82" s="1166"/>
    </row>
    <row r="83" spans="1:20" x14ac:dyDescent="0.2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2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2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25">
      <c r="A87" s="60" t="s">
        <v>1384</v>
      </c>
    </row>
    <row r="88" spans="1:20" x14ac:dyDescent="0.25">
      <c r="A88" s="1102" t="s">
        <v>1191</v>
      </c>
      <c r="B88" s="1103" t="s">
        <v>1192</v>
      </c>
      <c r="C88" s="1104">
        <v>2022</v>
      </c>
      <c r="D88" s="1104">
        <v>2023</v>
      </c>
      <c r="E88" s="1104">
        <v>2024</v>
      </c>
      <c r="F88" s="1104">
        <v>2025</v>
      </c>
      <c r="G88" s="1104">
        <v>2026</v>
      </c>
      <c r="H88" s="1104">
        <v>2027</v>
      </c>
      <c r="I88" s="1104">
        <v>2028</v>
      </c>
      <c r="J88" s="1104">
        <v>2029</v>
      </c>
      <c r="K88" s="1104">
        <v>2030</v>
      </c>
      <c r="L88" s="1104">
        <v>2031</v>
      </c>
      <c r="M88" s="1105" t="s">
        <v>1193</v>
      </c>
      <c r="N88" s="1105" t="s">
        <v>1194</v>
      </c>
      <c r="O88" s="1106" t="s">
        <v>1195</v>
      </c>
      <c r="P88" s="1106"/>
      <c r="Q88" s="1106"/>
      <c r="R88" s="1106"/>
      <c r="S88" s="1106"/>
      <c r="T88" s="1107" t="s">
        <v>1196</v>
      </c>
    </row>
    <row r="89" spans="1:20" x14ac:dyDescent="0.25">
      <c r="A89" s="1108" t="s">
        <v>1197</v>
      </c>
      <c r="B89" s="1109" t="s">
        <v>1198</v>
      </c>
      <c r="C89" s="1110">
        <v>0</v>
      </c>
      <c r="D89" s="1110">
        <v>3</v>
      </c>
      <c r="E89" s="1110">
        <v>3</v>
      </c>
      <c r="F89" s="1110">
        <v>3</v>
      </c>
      <c r="G89" s="1110">
        <v>3</v>
      </c>
      <c r="H89" s="1110">
        <v>1</v>
      </c>
      <c r="I89" s="1110">
        <v>0</v>
      </c>
      <c r="J89" s="1110">
        <v>0</v>
      </c>
      <c r="K89" s="1110">
        <v>0</v>
      </c>
      <c r="L89" s="1110">
        <v>0</v>
      </c>
      <c r="M89" s="1110">
        <v>12</v>
      </c>
      <c r="N89" s="1110">
        <v>13</v>
      </c>
      <c r="O89" s="1111" t="s">
        <v>1199</v>
      </c>
      <c r="P89" s="1111"/>
      <c r="Q89" s="1111"/>
      <c r="R89" s="1111"/>
      <c r="S89" s="1111"/>
      <c r="T89" s="1112"/>
    </row>
    <row r="90" spans="1:20" ht="24" customHeight="1" x14ac:dyDescent="0.25">
      <c r="A90" s="1108" t="s">
        <v>1200</v>
      </c>
      <c r="B90" s="1109" t="s">
        <v>1201</v>
      </c>
      <c r="C90" s="1110">
        <v>0</v>
      </c>
      <c r="D90" s="1110">
        <v>65</v>
      </c>
      <c r="E90" s="1110">
        <v>1360</v>
      </c>
      <c r="F90" s="1110">
        <v>2430</v>
      </c>
      <c r="G90" s="1110">
        <v>2800</v>
      </c>
      <c r="H90" s="1110">
        <v>1740</v>
      </c>
      <c r="I90" s="1110">
        <v>570</v>
      </c>
      <c r="J90" s="1110">
        <v>35</v>
      </c>
      <c r="K90" s="1110">
        <v>0</v>
      </c>
      <c r="L90" s="1110">
        <v>0</v>
      </c>
      <c r="M90" s="1110">
        <v>6655</v>
      </c>
      <c r="N90" s="1110">
        <v>9000</v>
      </c>
      <c r="O90" s="1111" t="s">
        <v>1199</v>
      </c>
      <c r="P90" s="1111"/>
      <c r="Q90" s="1111"/>
      <c r="R90" s="1111"/>
      <c r="S90" s="1111"/>
      <c r="T90" s="1113"/>
    </row>
    <row r="91" spans="1:20" x14ac:dyDescent="0.25">
      <c r="A91" s="1114" t="s">
        <v>1202</v>
      </c>
      <c r="B91" s="1115" t="s">
        <v>1203</v>
      </c>
      <c r="C91" s="1116">
        <v>0</v>
      </c>
      <c r="D91" s="1116">
        <v>0</v>
      </c>
      <c r="E91" s="1116">
        <v>601</v>
      </c>
      <c r="F91" s="1117">
        <v>1038</v>
      </c>
      <c r="G91" s="1117">
        <v>1251</v>
      </c>
      <c r="H91" s="1117">
        <v>1431</v>
      </c>
      <c r="I91" s="1117">
        <v>1492</v>
      </c>
      <c r="J91" s="1117">
        <v>1530</v>
      </c>
      <c r="K91" s="1117">
        <v>1567</v>
      </c>
      <c r="L91" s="1117">
        <v>1606</v>
      </c>
      <c r="M91" s="1117">
        <v>2890</v>
      </c>
      <c r="N91" s="1117">
        <v>10516</v>
      </c>
      <c r="O91" s="1118" t="s">
        <v>1204</v>
      </c>
      <c r="P91" s="1118"/>
      <c r="Q91" s="1118"/>
      <c r="R91" s="1118"/>
      <c r="S91" s="1118"/>
      <c r="T91" s="1119"/>
    </row>
    <row r="92" spans="1:20" x14ac:dyDescent="0.25">
      <c r="A92" s="1120" t="s">
        <v>1205</v>
      </c>
      <c r="B92" s="1121" t="s">
        <v>1206</v>
      </c>
      <c r="C92" s="1187">
        <v>0</v>
      </c>
      <c r="D92" s="1187">
        <v>30</v>
      </c>
      <c r="E92" s="1187">
        <v>120</v>
      </c>
      <c r="F92" s="1187">
        <v>165</v>
      </c>
      <c r="G92" s="1187">
        <v>370</v>
      </c>
      <c r="H92" s="1187">
        <v>470</v>
      </c>
      <c r="I92" s="1187">
        <v>420</v>
      </c>
      <c r="J92" s="1187">
        <v>285</v>
      </c>
      <c r="K92" s="1187">
        <v>220</v>
      </c>
      <c r="L92" s="1188">
        <v>65</v>
      </c>
      <c r="M92" s="1187">
        <v>685</v>
      </c>
      <c r="N92" s="1122">
        <v>2145</v>
      </c>
      <c r="O92" s="1123" t="s">
        <v>1207</v>
      </c>
      <c r="P92" s="1168"/>
      <c r="Q92" s="1168"/>
      <c r="R92" s="1168"/>
      <c r="S92" s="1168"/>
      <c r="T92" s="1124" t="s">
        <v>1208</v>
      </c>
    </row>
    <row r="93" spans="1:20" x14ac:dyDescent="0.25">
      <c r="A93" s="1108" t="s">
        <v>1209</v>
      </c>
      <c r="B93" s="1109" t="s">
        <v>1210</v>
      </c>
      <c r="C93" s="1110">
        <v>0</v>
      </c>
      <c r="D93" s="1110">
        <v>2</v>
      </c>
      <c r="E93" s="1110">
        <v>10</v>
      </c>
      <c r="F93" s="1110">
        <v>25</v>
      </c>
      <c r="G93" s="1110">
        <v>28</v>
      </c>
      <c r="H93" s="1110">
        <v>17</v>
      </c>
      <c r="I93" s="1110">
        <v>11</v>
      </c>
      <c r="J93" s="1110">
        <v>4</v>
      </c>
      <c r="K93" s="1110">
        <v>2</v>
      </c>
      <c r="L93" s="1110">
        <v>1</v>
      </c>
      <c r="M93" s="1110">
        <v>65</v>
      </c>
      <c r="N93" s="1110">
        <v>100</v>
      </c>
      <c r="O93" s="1111" t="s">
        <v>1207</v>
      </c>
      <c r="P93" s="1111"/>
      <c r="Q93" s="1111"/>
      <c r="R93" s="1111"/>
      <c r="S93" s="1111"/>
      <c r="T93" s="1112" t="s">
        <v>1211</v>
      </c>
    </row>
    <row r="94" spans="1:20" ht="24" customHeight="1" x14ac:dyDescent="0.25">
      <c r="A94" s="1125" t="s">
        <v>1212</v>
      </c>
      <c r="B94" s="1126" t="s">
        <v>1213</v>
      </c>
      <c r="C94" s="1110">
        <v>0</v>
      </c>
      <c r="D94" s="1110">
        <v>36</v>
      </c>
      <c r="E94" s="1110">
        <v>30</v>
      </c>
      <c r="F94" s="1110">
        <v>14</v>
      </c>
      <c r="G94" s="1110">
        <v>7</v>
      </c>
      <c r="H94" s="1110">
        <v>0</v>
      </c>
      <c r="I94" s="1110">
        <v>0</v>
      </c>
      <c r="J94" s="1110">
        <v>0</v>
      </c>
      <c r="K94" s="1110">
        <v>0</v>
      </c>
      <c r="L94" s="1110">
        <v>0</v>
      </c>
      <c r="M94" s="1110">
        <v>87</v>
      </c>
      <c r="N94" s="1110">
        <v>87</v>
      </c>
      <c r="O94" s="1111" t="s">
        <v>1207</v>
      </c>
      <c r="P94" s="1111"/>
      <c r="Q94" s="1111"/>
      <c r="R94" s="1111"/>
      <c r="S94" s="1111"/>
      <c r="T94" s="1112" t="s">
        <v>1214</v>
      </c>
    </row>
    <row r="95" spans="1:20" x14ac:dyDescent="0.25">
      <c r="A95" s="1108" t="s">
        <v>1215</v>
      </c>
      <c r="B95" s="1109" t="s">
        <v>1216</v>
      </c>
      <c r="C95" s="1110">
        <v>0</v>
      </c>
      <c r="D95" s="1127">
        <v>5240</v>
      </c>
      <c r="E95" s="1127">
        <v>4175</v>
      </c>
      <c r="F95" s="1127">
        <v>5215</v>
      </c>
      <c r="G95" s="1127">
        <v>6493</v>
      </c>
      <c r="H95" s="1127">
        <v>7982</v>
      </c>
      <c r="I95" s="1127">
        <v>9820</v>
      </c>
      <c r="J95" s="1127">
        <v>11813</v>
      </c>
      <c r="K95" s="1127">
        <v>14269</v>
      </c>
      <c r="L95" s="1127">
        <v>14605</v>
      </c>
      <c r="M95" s="1127">
        <v>21123</v>
      </c>
      <c r="N95" s="1127">
        <v>79612</v>
      </c>
      <c r="O95" s="1128" t="s">
        <v>1207</v>
      </c>
      <c r="P95" s="1128"/>
      <c r="Q95" s="1128"/>
      <c r="R95" s="1128"/>
      <c r="S95" s="1128"/>
      <c r="T95" s="1112"/>
    </row>
    <row r="96" spans="1:20" x14ac:dyDescent="0.25">
      <c r="A96" s="1108" t="s">
        <v>1217</v>
      </c>
      <c r="B96" s="1109" t="s">
        <v>1218</v>
      </c>
      <c r="C96" s="1129">
        <v>0</v>
      </c>
      <c r="D96" s="1129">
        <v>55</v>
      </c>
      <c r="E96" s="1129">
        <v>55</v>
      </c>
      <c r="F96" s="1129">
        <v>55</v>
      </c>
      <c r="G96" s="1129">
        <v>55</v>
      </c>
      <c r="H96" s="1129">
        <v>55</v>
      </c>
      <c r="I96" s="1129">
        <v>55</v>
      </c>
      <c r="J96" s="1129">
        <v>55</v>
      </c>
      <c r="K96" s="1129">
        <v>55</v>
      </c>
      <c r="L96" s="1129">
        <v>55</v>
      </c>
      <c r="M96" s="1129">
        <v>220</v>
      </c>
      <c r="N96" s="1129">
        <v>495</v>
      </c>
      <c r="O96" s="1130" t="s">
        <v>1207</v>
      </c>
      <c r="P96" s="1130"/>
      <c r="Q96" s="1130"/>
      <c r="R96" s="1130"/>
      <c r="S96" s="1130"/>
      <c r="T96" s="1113"/>
    </row>
    <row r="97" spans="1:20" x14ac:dyDescent="0.25">
      <c r="A97" s="1108" t="s">
        <v>1219</v>
      </c>
      <c r="B97" s="1109" t="s">
        <v>1220</v>
      </c>
      <c r="C97" s="1110">
        <v>0</v>
      </c>
      <c r="D97" s="1110">
        <v>19</v>
      </c>
      <c r="E97" s="1110">
        <v>26</v>
      </c>
      <c r="F97" s="1110">
        <v>27</v>
      </c>
      <c r="G97" s="1110">
        <v>17</v>
      </c>
      <c r="H97" s="1110">
        <v>7</v>
      </c>
      <c r="I97" s="1110">
        <v>3</v>
      </c>
      <c r="J97" s="1110">
        <v>1</v>
      </c>
      <c r="K97" s="1110">
        <v>0</v>
      </c>
      <c r="L97" s="1110">
        <v>0</v>
      </c>
      <c r="M97" s="1110">
        <v>89</v>
      </c>
      <c r="N97" s="1110">
        <v>100</v>
      </c>
      <c r="O97" s="1128" t="s">
        <v>1207</v>
      </c>
      <c r="P97" s="1128"/>
      <c r="Q97" s="1128"/>
      <c r="R97" s="1128"/>
      <c r="S97" s="1128"/>
      <c r="T97" s="1113"/>
    </row>
    <row r="98" spans="1:20" x14ac:dyDescent="0.25">
      <c r="A98" s="1108" t="s">
        <v>1221</v>
      </c>
      <c r="B98" s="1109" t="s">
        <v>1222</v>
      </c>
      <c r="C98" s="1110">
        <v>0</v>
      </c>
      <c r="D98" s="1110">
        <v>15</v>
      </c>
      <c r="E98" s="1110">
        <v>15</v>
      </c>
      <c r="F98" s="1110">
        <v>15</v>
      </c>
      <c r="G98" s="1110">
        <v>10</v>
      </c>
      <c r="H98" s="1110">
        <v>10</v>
      </c>
      <c r="I98" s="1110">
        <v>10</v>
      </c>
      <c r="J98" s="1110">
        <v>10</v>
      </c>
      <c r="K98" s="1110">
        <v>10</v>
      </c>
      <c r="L98" s="1110">
        <v>5</v>
      </c>
      <c r="M98" s="1110">
        <v>55</v>
      </c>
      <c r="N98" s="1110">
        <v>100</v>
      </c>
      <c r="O98" s="1111" t="s">
        <v>1207</v>
      </c>
      <c r="P98" s="1111"/>
      <c r="Q98" s="1111"/>
      <c r="R98" s="1111"/>
      <c r="S98" s="1111"/>
      <c r="T98" s="1113"/>
    </row>
    <row r="99" spans="1:20" ht="36" customHeight="1" x14ac:dyDescent="0.25">
      <c r="A99" s="1108" t="s">
        <v>1223</v>
      </c>
      <c r="B99" s="1109" t="s">
        <v>1224</v>
      </c>
      <c r="C99" s="1131">
        <v>0</v>
      </c>
      <c r="D99" s="1131">
        <v>22</v>
      </c>
      <c r="E99" s="1131">
        <v>96</v>
      </c>
      <c r="F99" s="1131">
        <v>170</v>
      </c>
      <c r="G99" s="1131">
        <v>213</v>
      </c>
      <c r="H99" s="1131">
        <v>160</v>
      </c>
      <c r="I99" s="1131">
        <v>47</v>
      </c>
      <c r="J99" s="1131">
        <v>2</v>
      </c>
      <c r="K99" s="1131">
        <v>0</v>
      </c>
      <c r="L99" s="1131">
        <v>0</v>
      </c>
      <c r="M99" s="1131">
        <v>501</v>
      </c>
      <c r="N99" s="1131">
        <v>710</v>
      </c>
      <c r="O99" s="1110" t="s">
        <v>1207</v>
      </c>
      <c r="P99" s="1110"/>
      <c r="Q99" s="1110"/>
      <c r="R99" s="1110"/>
      <c r="S99" s="1110"/>
      <c r="T99" s="1113"/>
    </row>
    <row r="100" spans="1:20" ht="36" customHeight="1" x14ac:dyDescent="0.25">
      <c r="A100" s="1108" t="s">
        <v>1225</v>
      </c>
      <c r="B100" s="1109" t="s">
        <v>1226</v>
      </c>
      <c r="C100" s="1132"/>
      <c r="D100" s="1132">
        <v>90</v>
      </c>
      <c r="E100" s="1132">
        <v>260</v>
      </c>
      <c r="F100" s="1132">
        <v>427</v>
      </c>
      <c r="G100" s="1132">
        <v>560</v>
      </c>
      <c r="H100" s="1132">
        <v>572</v>
      </c>
      <c r="I100" s="1132">
        <v>534</v>
      </c>
      <c r="J100" s="1132">
        <v>275</v>
      </c>
      <c r="K100" s="1132">
        <v>162</v>
      </c>
      <c r="L100" s="1132">
        <v>70</v>
      </c>
      <c r="M100" s="1132">
        <v>1347</v>
      </c>
      <c r="N100" s="1132">
        <v>2960</v>
      </c>
      <c r="O100" s="1133" t="s">
        <v>1207</v>
      </c>
      <c r="P100" s="1133"/>
      <c r="Q100" s="1133"/>
      <c r="R100" s="1133"/>
      <c r="S100" s="1133"/>
      <c r="T100" s="1113"/>
    </row>
    <row r="101" spans="1:20" x14ac:dyDescent="0.25">
      <c r="A101" s="1108" t="s">
        <v>1227</v>
      </c>
      <c r="B101" s="1109" t="s">
        <v>1228</v>
      </c>
      <c r="C101" s="1110">
        <v>0</v>
      </c>
      <c r="D101" s="1110">
        <v>40</v>
      </c>
      <c r="E101" s="1110">
        <v>60</v>
      </c>
      <c r="F101" s="1110">
        <v>52</v>
      </c>
      <c r="G101" s="1110">
        <v>40</v>
      </c>
      <c r="H101" s="1110">
        <v>27</v>
      </c>
      <c r="I101" s="1110">
        <v>19</v>
      </c>
      <c r="J101" s="1110">
        <v>10</v>
      </c>
      <c r="K101" s="1110">
        <v>2</v>
      </c>
      <c r="L101" s="1110">
        <v>0</v>
      </c>
      <c r="M101" s="1110">
        <v>192</v>
      </c>
      <c r="N101" s="1110">
        <v>250</v>
      </c>
      <c r="O101" s="1111" t="s">
        <v>1207</v>
      </c>
      <c r="P101" s="1111"/>
      <c r="Q101" s="1111"/>
      <c r="R101" s="1111"/>
      <c r="S101" s="1111"/>
      <c r="T101" s="1113"/>
    </row>
    <row r="102" spans="1:20" x14ac:dyDescent="0.25">
      <c r="A102" s="1125" t="s">
        <v>1229</v>
      </c>
      <c r="B102" s="1126" t="s">
        <v>1230</v>
      </c>
      <c r="C102" s="1110">
        <v>0</v>
      </c>
      <c r="D102" s="1110">
        <v>49</v>
      </c>
      <c r="E102" s="1110">
        <v>62</v>
      </c>
      <c r="F102" s="1110">
        <v>62</v>
      </c>
      <c r="G102" s="1110">
        <v>62</v>
      </c>
      <c r="H102" s="1110">
        <v>63</v>
      </c>
      <c r="I102" s="1110">
        <v>63</v>
      </c>
      <c r="J102" s="1110">
        <v>63</v>
      </c>
      <c r="K102" s="1110">
        <v>64</v>
      </c>
      <c r="L102" s="1110">
        <v>12</v>
      </c>
      <c r="M102" s="1110">
        <v>235</v>
      </c>
      <c r="N102" s="1110">
        <v>500</v>
      </c>
      <c r="O102" s="1111" t="s">
        <v>1207</v>
      </c>
      <c r="P102" s="1111"/>
      <c r="Q102" s="1111"/>
      <c r="R102" s="1111"/>
      <c r="S102" s="1111"/>
      <c r="T102" s="1113"/>
    </row>
    <row r="103" spans="1:20" x14ac:dyDescent="0.25">
      <c r="A103" s="1108" t="s">
        <v>1231</v>
      </c>
      <c r="B103" s="1109" t="s">
        <v>1232</v>
      </c>
      <c r="C103" s="1110">
        <v>0</v>
      </c>
      <c r="D103" s="1110">
        <v>0</v>
      </c>
      <c r="E103" s="1110">
        <v>0</v>
      </c>
      <c r="F103" s="1110">
        <v>0</v>
      </c>
      <c r="G103" s="1110">
        <v>-20</v>
      </c>
      <c r="H103" s="1110">
        <v>-28</v>
      </c>
      <c r="I103" s="1110">
        <v>-28</v>
      </c>
      <c r="J103" s="1110">
        <v>-28</v>
      </c>
      <c r="K103" s="1110">
        <v>-28</v>
      </c>
      <c r="L103" s="1110">
        <v>-28</v>
      </c>
      <c r="M103" s="1110">
        <v>-20</v>
      </c>
      <c r="N103" s="1110">
        <v>-160</v>
      </c>
      <c r="O103" s="1111" t="s">
        <v>1207</v>
      </c>
      <c r="P103" s="1111"/>
      <c r="Q103" s="1111"/>
      <c r="R103" s="1111"/>
      <c r="S103" s="1111"/>
      <c r="T103" s="1113"/>
    </row>
    <row r="104" spans="1:20" ht="24" customHeight="1" x14ac:dyDescent="0.25">
      <c r="A104" s="1108" t="s">
        <v>1233</v>
      </c>
      <c r="B104" s="1109" t="s">
        <v>1234</v>
      </c>
      <c r="C104" s="1110">
        <v>0</v>
      </c>
      <c r="D104" s="1110">
        <v>-235</v>
      </c>
      <c r="E104" s="1110">
        <v>-44</v>
      </c>
      <c r="F104" s="1110">
        <v>-22</v>
      </c>
      <c r="G104" s="1110">
        <v>-26</v>
      </c>
      <c r="H104" s="1110">
        <v>-23</v>
      </c>
      <c r="I104" s="1110">
        <v>-19</v>
      </c>
      <c r="J104" s="1110">
        <v>-41</v>
      </c>
      <c r="K104" s="1110">
        <v>-35</v>
      </c>
      <c r="L104" s="1110">
        <v>-39</v>
      </c>
      <c r="M104" s="1110">
        <v>-327</v>
      </c>
      <c r="N104" s="1110">
        <v>-484</v>
      </c>
      <c r="O104" s="1111" t="s">
        <v>1207</v>
      </c>
      <c r="P104" s="1111"/>
      <c r="Q104" s="1111"/>
      <c r="R104" s="1111"/>
      <c r="S104" s="1111"/>
      <c r="T104" s="1113"/>
    </row>
    <row r="105" spans="1:20" x14ac:dyDescent="0.25">
      <c r="A105" s="1108" t="s">
        <v>1235</v>
      </c>
      <c r="B105" s="1109" t="s">
        <v>1236</v>
      </c>
      <c r="C105" s="1110">
        <v>0</v>
      </c>
      <c r="D105" s="1110">
        <v>7</v>
      </c>
      <c r="E105" s="1110">
        <v>8</v>
      </c>
      <c r="F105" s="1110">
        <v>6</v>
      </c>
      <c r="G105" s="1110">
        <v>2</v>
      </c>
      <c r="H105" s="1110">
        <v>1</v>
      </c>
      <c r="I105" s="1110">
        <v>0</v>
      </c>
      <c r="J105" s="1110">
        <v>0</v>
      </c>
      <c r="K105" s="1110">
        <v>0</v>
      </c>
      <c r="L105" s="1110">
        <v>0</v>
      </c>
      <c r="M105" s="1110">
        <v>23</v>
      </c>
      <c r="N105" s="1110">
        <v>24</v>
      </c>
      <c r="O105" s="1111" t="s">
        <v>1207</v>
      </c>
      <c r="P105" s="1111"/>
      <c r="Q105" s="1111"/>
      <c r="R105" s="1111"/>
      <c r="S105" s="1111"/>
      <c r="T105" s="1113"/>
    </row>
    <row r="106" spans="1:20" ht="36" customHeight="1" x14ac:dyDescent="0.25">
      <c r="A106" s="1108" t="s">
        <v>1237</v>
      </c>
      <c r="B106" s="1109" t="s">
        <v>1238</v>
      </c>
      <c r="C106" s="1110">
        <v>0</v>
      </c>
      <c r="D106" s="1110">
        <v>50</v>
      </c>
      <c r="E106" s="1110">
        <v>77</v>
      </c>
      <c r="F106" s="1110">
        <v>87</v>
      </c>
      <c r="G106" s="1110">
        <v>81</v>
      </c>
      <c r="H106" s="1110">
        <v>50</v>
      </c>
      <c r="I106" s="1110">
        <v>30</v>
      </c>
      <c r="J106" s="1110">
        <v>10</v>
      </c>
      <c r="K106" s="1110">
        <v>0</v>
      </c>
      <c r="L106" s="1110">
        <v>0</v>
      </c>
      <c r="M106" s="1110">
        <v>295</v>
      </c>
      <c r="N106" s="1110">
        <v>385</v>
      </c>
      <c r="O106" s="1111" t="s">
        <v>1207</v>
      </c>
      <c r="P106" s="1111"/>
      <c r="Q106" s="1111"/>
      <c r="R106" s="1111"/>
      <c r="S106" s="1111"/>
      <c r="T106" s="1113"/>
    </row>
    <row r="107" spans="1:20" x14ac:dyDescent="0.25">
      <c r="A107" s="1125" t="s">
        <v>1239</v>
      </c>
      <c r="B107" s="1126" t="s">
        <v>1240</v>
      </c>
      <c r="C107" s="1110">
        <v>0</v>
      </c>
      <c r="D107" s="1110">
        <v>3</v>
      </c>
      <c r="E107" s="1110">
        <v>2</v>
      </c>
      <c r="F107" s="1110">
        <v>0</v>
      </c>
      <c r="G107" s="1110">
        <v>0</v>
      </c>
      <c r="H107" s="1110">
        <v>0</v>
      </c>
      <c r="I107" s="1110">
        <v>0</v>
      </c>
      <c r="J107" s="1110">
        <v>0</v>
      </c>
      <c r="K107" s="1110">
        <v>0</v>
      </c>
      <c r="L107" s="1110">
        <v>0</v>
      </c>
      <c r="M107" s="1110">
        <v>5</v>
      </c>
      <c r="N107" s="1110">
        <v>5</v>
      </c>
      <c r="O107" s="1111" t="s">
        <v>1241</v>
      </c>
      <c r="P107" s="1111"/>
      <c r="Q107" s="1111"/>
      <c r="R107" s="1111"/>
      <c r="S107" s="1111"/>
      <c r="T107" s="1113"/>
    </row>
    <row r="108" spans="1:20" x14ac:dyDescent="0.25">
      <c r="A108" s="1125" t="s">
        <v>1242</v>
      </c>
      <c r="B108" s="1126" t="s">
        <v>1243</v>
      </c>
      <c r="C108" s="1110">
        <v>0</v>
      </c>
      <c r="D108" s="1110">
        <v>70</v>
      </c>
      <c r="E108" s="1110">
        <v>80</v>
      </c>
      <c r="F108" s="1110">
        <v>62</v>
      </c>
      <c r="G108" s="1110">
        <v>25</v>
      </c>
      <c r="H108" s="1110">
        <v>13</v>
      </c>
      <c r="I108" s="1110">
        <v>0</v>
      </c>
      <c r="J108" s="1110">
        <v>0</v>
      </c>
      <c r="K108" s="1110">
        <v>0</v>
      </c>
      <c r="L108" s="1110">
        <v>0</v>
      </c>
      <c r="M108" s="1110">
        <v>237</v>
      </c>
      <c r="N108" s="1110">
        <v>250</v>
      </c>
      <c r="O108" s="1111" t="s">
        <v>1241</v>
      </c>
      <c r="P108" s="1111"/>
      <c r="Q108" s="1111"/>
      <c r="R108" s="1111"/>
      <c r="S108" s="1111"/>
      <c r="T108" s="1113"/>
    </row>
    <row r="109" spans="1:20" ht="24" customHeight="1" x14ac:dyDescent="0.25">
      <c r="A109" s="1125" t="s">
        <v>1244</v>
      </c>
      <c r="B109" s="1126" t="s">
        <v>1245</v>
      </c>
      <c r="C109" s="1129">
        <v>0</v>
      </c>
      <c r="D109" s="1129">
        <v>33</v>
      </c>
      <c r="E109" s="1129">
        <v>54</v>
      </c>
      <c r="F109" s="1129">
        <v>37</v>
      </c>
      <c r="G109" s="1129">
        <v>16</v>
      </c>
      <c r="H109" s="1129">
        <v>0</v>
      </c>
      <c r="I109" s="1129">
        <v>0</v>
      </c>
      <c r="J109" s="1129">
        <v>0</v>
      </c>
      <c r="K109" s="1129">
        <v>0</v>
      </c>
      <c r="L109" s="1129">
        <v>0</v>
      </c>
      <c r="M109" s="1129">
        <v>140</v>
      </c>
      <c r="N109" s="1129">
        <v>140</v>
      </c>
      <c r="O109" s="1111" t="s">
        <v>1207</v>
      </c>
      <c r="P109" s="1111"/>
      <c r="Q109" s="1111"/>
      <c r="R109" s="1111"/>
      <c r="S109" s="1111"/>
      <c r="T109" s="1113"/>
    </row>
    <row r="110" spans="1:20" x14ac:dyDescent="0.25">
      <c r="A110" s="1108" t="s">
        <v>1246</v>
      </c>
      <c r="B110" s="1109" t="s">
        <v>1247</v>
      </c>
      <c r="C110" s="1110">
        <v>0</v>
      </c>
      <c r="D110" s="1110">
        <v>40</v>
      </c>
      <c r="E110" s="1110">
        <v>40</v>
      </c>
      <c r="F110" s="1110">
        <v>30</v>
      </c>
      <c r="G110" s="1110">
        <v>10</v>
      </c>
      <c r="H110" s="1110">
        <v>5</v>
      </c>
      <c r="I110" s="1110">
        <v>0</v>
      </c>
      <c r="J110" s="1110">
        <v>0</v>
      </c>
      <c r="K110" s="1110">
        <v>0</v>
      </c>
      <c r="L110" s="1110">
        <v>0</v>
      </c>
      <c r="M110" s="1110">
        <v>120</v>
      </c>
      <c r="N110" s="1110">
        <v>125</v>
      </c>
      <c r="O110" s="1111" t="s">
        <v>1207</v>
      </c>
      <c r="P110" s="1111"/>
      <c r="Q110" s="1111"/>
      <c r="R110" s="1111"/>
      <c r="S110" s="1111"/>
      <c r="T110" s="1113"/>
    </row>
    <row r="111" spans="1:20" x14ac:dyDescent="0.25">
      <c r="A111" s="1125" t="s">
        <v>1248</v>
      </c>
      <c r="B111" s="1109" t="s">
        <v>1249</v>
      </c>
      <c r="C111" s="1110">
        <v>0</v>
      </c>
      <c r="D111" s="1110">
        <v>5</v>
      </c>
      <c r="E111" s="1110">
        <v>8</v>
      </c>
      <c r="F111" s="1110">
        <v>8</v>
      </c>
      <c r="G111" s="1110">
        <v>8</v>
      </c>
      <c r="H111" s="1110">
        <v>4</v>
      </c>
      <c r="I111" s="1110">
        <v>0</v>
      </c>
      <c r="J111" s="1110">
        <v>0</v>
      </c>
      <c r="K111" s="1110">
        <v>0</v>
      </c>
      <c r="L111" s="1110">
        <v>0</v>
      </c>
      <c r="M111" s="1110">
        <v>29</v>
      </c>
      <c r="N111" s="1110">
        <v>33</v>
      </c>
      <c r="O111" s="1111" t="s">
        <v>1207</v>
      </c>
      <c r="P111" s="1111"/>
      <c r="Q111" s="1111"/>
      <c r="R111" s="1111"/>
      <c r="S111" s="1111"/>
      <c r="T111" s="1113"/>
    </row>
    <row r="112" spans="1:20" x14ac:dyDescent="0.25">
      <c r="A112" s="1108" t="s">
        <v>1250</v>
      </c>
      <c r="B112" s="1126" t="s">
        <v>1251</v>
      </c>
      <c r="C112" s="1110">
        <v>0</v>
      </c>
      <c r="D112" s="1110">
        <v>3</v>
      </c>
      <c r="E112" s="1110">
        <v>8</v>
      </c>
      <c r="F112" s="1110">
        <v>8</v>
      </c>
      <c r="G112" s="1110">
        <v>8</v>
      </c>
      <c r="H112" s="1110">
        <v>3</v>
      </c>
      <c r="I112" s="1110">
        <v>0</v>
      </c>
      <c r="J112" s="1110">
        <v>0</v>
      </c>
      <c r="K112" s="1110">
        <v>0</v>
      </c>
      <c r="L112" s="1110">
        <v>0</v>
      </c>
      <c r="M112" s="1110">
        <v>27</v>
      </c>
      <c r="N112" s="1110">
        <v>30</v>
      </c>
      <c r="O112" s="1111" t="s">
        <v>1207</v>
      </c>
      <c r="P112" s="1111"/>
      <c r="Q112" s="1111"/>
      <c r="R112" s="1111"/>
      <c r="S112" s="1111"/>
      <c r="T112" s="1113"/>
    </row>
    <row r="113" spans="1:20" ht="24" customHeight="1" x14ac:dyDescent="0.25">
      <c r="A113" s="1108" t="s">
        <v>1252</v>
      </c>
      <c r="B113" s="1109" t="s">
        <v>1253</v>
      </c>
      <c r="C113" s="1129">
        <v>0</v>
      </c>
      <c r="D113" s="1129">
        <v>165</v>
      </c>
      <c r="E113" s="1129">
        <v>165</v>
      </c>
      <c r="F113" s="1129">
        <v>230</v>
      </c>
      <c r="G113" s="1129">
        <v>340</v>
      </c>
      <c r="H113" s="1129">
        <v>490</v>
      </c>
      <c r="I113" s="1129">
        <v>540</v>
      </c>
      <c r="J113" s="1129">
        <v>640</v>
      </c>
      <c r="K113" s="1129">
        <v>475</v>
      </c>
      <c r="L113" s="1129">
        <v>330</v>
      </c>
      <c r="M113" s="1129">
        <v>900</v>
      </c>
      <c r="N113" s="1129">
        <v>3375</v>
      </c>
      <c r="O113" s="1128" t="s">
        <v>1207</v>
      </c>
      <c r="P113" s="1128"/>
      <c r="Q113" s="1128"/>
      <c r="R113" s="1128"/>
      <c r="S113" s="1128"/>
      <c r="T113" s="1113"/>
    </row>
    <row r="114" spans="1:20" ht="24" customHeight="1" x14ac:dyDescent="0.25">
      <c r="A114" s="1134" t="s">
        <v>1223</v>
      </c>
      <c r="B114" s="1135" t="s">
        <v>1254</v>
      </c>
      <c r="C114" s="1110">
        <v>0</v>
      </c>
      <c r="D114" s="1110">
        <v>195</v>
      </c>
      <c r="E114" s="1110">
        <v>448</v>
      </c>
      <c r="F114" s="1110">
        <v>641</v>
      </c>
      <c r="G114" s="1110">
        <v>716</v>
      </c>
      <c r="H114" s="1110">
        <v>681</v>
      </c>
      <c r="I114" s="1110">
        <v>528</v>
      </c>
      <c r="J114" s="1110">
        <v>421</v>
      </c>
      <c r="K114" s="1110">
        <v>323</v>
      </c>
      <c r="L114" s="1110">
        <v>23</v>
      </c>
      <c r="M114" s="1127">
        <v>2000</v>
      </c>
      <c r="N114" s="1127">
        <v>3976</v>
      </c>
      <c r="O114" s="1128" t="s">
        <v>1207</v>
      </c>
      <c r="P114" s="1128"/>
      <c r="Q114" s="1128"/>
      <c r="R114" s="1128"/>
      <c r="S114" s="1128"/>
      <c r="T114" s="1136"/>
    </row>
    <row r="115" spans="1:20" ht="30" customHeight="1" x14ac:dyDescent="0.25">
      <c r="A115" s="1120" t="s">
        <v>1255</v>
      </c>
      <c r="B115" s="1121" t="s">
        <v>1256</v>
      </c>
      <c r="C115" s="1137">
        <v>0</v>
      </c>
      <c r="D115" s="1137">
        <v>20</v>
      </c>
      <c r="E115" s="1137">
        <v>57</v>
      </c>
      <c r="F115" s="1137">
        <v>96</v>
      </c>
      <c r="G115" s="1137">
        <v>150</v>
      </c>
      <c r="H115" s="1137">
        <v>200</v>
      </c>
      <c r="I115" s="1137">
        <v>185</v>
      </c>
      <c r="J115" s="1137">
        <v>147</v>
      </c>
      <c r="K115" s="1137">
        <v>106</v>
      </c>
      <c r="L115" s="1137">
        <v>39</v>
      </c>
      <c r="M115" s="1137">
        <v>323</v>
      </c>
      <c r="N115" s="1138">
        <v>1000</v>
      </c>
      <c r="O115" s="1139" t="s">
        <v>1257</v>
      </c>
      <c r="P115" s="1169"/>
      <c r="Q115" s="1169"/>
      <c r="R115" s="1169"/>
      <c r="S115" s="1169"/>
      <c r="T115" s="1140" t="s">
        <v>1258</v>
      </c>
    </row>
    <row r="116" spans="1:20" x14ac:dyDescent="0.25">
      <c r="A116" s="1125" t="s">
        <v>1259</v>
      </c>
      <c r="B116" s="1109" t="s">
        <v>1260</v>
      </c>
      <c r="C116" s="1110">
        <v>0</v>
      </c>
      <c r="D116" s="1110">
        <v>15</v>
      </c>
      <c r="E116" s="1110">
        <v>53</v>
      </c>
      <c r="F116" s="1110">
        <v>57</v>
      </c>
      <c r="G116" s="1110">
        <v>48</v>
      </c>
      <c r="H116" s="1110">
        <v>43</v>
      </c>
      <c r="I116" s="1110">
        <v>17</v>
      </c>
      <c r="J116" s="1110">
        <v>2</v>
      </c>
      <c r="K116" s="1110">
        <v>0</v>
      </c>
      <c r="L116" s="1110">
        <v>0</v>
      </c>
      <c r="M116" s="1110">
        <v>173</v>
      </c>
      <c r="N116" s="1110">
        <v>235</v>
      </c>
      <c r="O116" s="1111" t="s">
        <v>1261</v>
      </c>
      <c r="P116" s="1111"/>
      <c r="Q116" s="1111"/>
      <c r="R116" s="1111"/>
      <c r="S116" s="1111"/>
      <c r="T116" s="1112" t="s">
        <v>1262</v>
      </c>
    </row>
    <row r="117" spans="1:20" x14ac:dyDescent="0.25">
      <c r="A117" s="1108" t="s">
        <v>1263</v>
      </c>
      <c r="B117" s="1109" t="s">
        <v>1264</v>
      </c>
      <c r="C117" s="1110">
        <v>0</v>
      </c>
      <c r="D117" s="1110">
        <v>15</v>
      </c>
      <c r="E117" s="1110">
        <v>53</v>
      </c>
      <c r="F117" s="1110">
        <v>57</v>
      </c>
      <c r="G117" s="1110">
        <v>48</v>
      </c>
      <c r="H117" s="1110">
        <v>43</v>
      </c>
      <c r="I117" s="1110">
        <v>17</v>
      </c>
      <c r="J117" s="1110">
        <v>2</v>
      </c>
      <c r="K117" s="1110">
        <v>0</v>
      </c>
      <c r="L117" s="1110">
        <v>0</v>
      </c>
      <c r="M117" s="1110">
        <v>173</v>
      </c>
      <c r="N117" s="1110">
        <v>235</v>
      </c>
      <c r="O117" s="1111" t="s">
        <v>1261</v>
      </c>
      <c r="P117" s="1111"/>
      <c r="Q117" s="1111"/>
      <c r="R117" s="1111"/>
      <c r="S117" s="1111"/>
      <c r="T117" s="1112" t="s">
        <v>1262</v>
      </c>
    </row>
    <row r="118" spans="1:20" x14ac:dyDescent="0.25">
      <c r="A118" s="1125" t="s">
        <v>1265</v>
      </c>
      <c r="B118" s="1126" t="s">
        <v>1266</v>
      </c>
      <c r="C118" s="1110">
        <v>0</v>
      </c>
      <c r="D118" s="1110">
        <v>42</v>
      </c>
      <c r="E118" s="1110">
        <v>18</v>
      </c>
      <c r="F118" s="1110">
        <v>0</v>
      </c>
      <c r="G118" s="1110">
        <v>0</v>
      </c>
      <c r="H118" s="1110">
        <v>0</v>
      </c>
      <c r="I118" s="1110">
        <v>0</v>
      </c>
      <c r="J118" s="1110">
        <v>0</v>
      </c>
      <c r="K118" s="1110">
        <v>0</v>
      </c>
      <c r="L118" s="1110">
        <v>0</v>
      </c>
      <c r="M118" s="1110">
        <v>60</v>
      </c>
      <c r="N118" s="1110">
        <v>60</v>
      </c>
      <c r="O118" s="1111" t="s">
        <v>1257</v>
      </c>
      <c r="P118" s="1111"/>
      <c r="Q118" s="1111"/>
      <c r="R118" s="1111"/>
      <c r="S118" s="1111"/>
      <c r="T118" s="1113" t="s">
        <v>1267</v>
      </c>
    </row>
    <row r="119" spans="1:20" x14ac:dyDescent="0.25">
      <c r="A119" s="1108" t="s">
        <v>1268</v>
      </c>
      <c r="B119" s="1109" t="s">
        <v>1269</v>
      </c>
      <c r="C119" s="1110">
        <v>0</v>
      </c>
      <c r="D119" s="1110">
        <v>2</v>
      </c>
      <c r="E119" s="1110">
        <v>13</v>
      </c>
      <c r="F119" s="1110">
        <v>26</v>
      </c>
      <c r="G119" s="1110">
        <v>30</v>
      </c>
      <c r="H119" s="1110">
        <v>24</v>
      </c>
      <c r="I119" s="1110">
        <v>0</v>
      </c>
      <c r="J119" s="1110">
        <v>0</v>
      </c>
      <c r="K119" s="1110">
        <v>0</v>
      </c>
      <c r="L119" s="1110">
        <v>0</v>
      </c>
      <c r="M119" s="1110">
        <v>71</v>
      </c>
      <c r="N119" s="1110">
        <v>95</v>
      </c>
      <c r="O119" s="1111" t="s">
        <v>1257</v>
      </c>
      <c r="P119" s="1111"/>
      <c r="Q119" s="1111"/>
      <c r="R119" s="1111"/>
      <c r="S119" s="1111"/>
      <c r="T119" s="1112" t="s">
        <v>1270</v>
      </c>
    </row>
    <row r="120" spans="1:20" ht="36" customHeight="1" x14ac:dyDescent="0.25">
      <c r="A120" s="1108" t="s">
        <v>1271</v>
      </c>
      <c r="B120" s="1109" t="s">
        <v>1272</v>
      </c>
      <c r="C120" s="1110">
        <v>0</v>
      </c>
      <c r="D120" s="1110">
        <v>3</v>
      </c>
      <c r="E120" s="1110">
        <v>19</v>
      </c>
      <c r="F120" s="1110">
        <v>67</v>
      </c>
      <c r="G120" s="1110">
        <v>86</v>
      </c>
      <c r="H120" s="1110">
        <v>59</v>
      </c>
      <c r="I120" s="1110">
        <v>35</v>
      </c>
      <c r="J120" s="1110">
        <v>19</v>
      </c>
      <c r="K120" s="1110">
        <v>6</v>
      </c>
      <c r="L120" s="1110">
        <v>0</v>
      </c>
      <c r="M120" s="1110">
        <v>175</v>
      </c>
      <c r="N120" s="1110">
        <v>294</v>
      </c>
      <c r="O120" s="1111" t="s">
        <v>1257</v>
      </c>
      <c r="P120" s="1111"/>
      <c r="Q120" s="1111"/>
      <c r="R120" s="1111"/>
      <c r="S120" s="1111"/>
      <c r="T120" s="1136" t="s">
        <v>1273</v>
      </c>
    </row>
    <row r="121" spans="1:20" x14ac:dyDescent="0.25">
      <c r="A121" s="1108" t="s">
        <v>1274</v>
      </c>
      <c r="B121" s="1109" t="s">
        <v>1275</v>
      </c>
      <c r="C121" s="1110">
        <v>0</v>
      </c>
      <c r="D121" s="1110">
        <v>65</v>
      </c>
      <c r="E121" s="1110">
        <v>150</v>
      </c>
      <c r="F121" s="1110">
        <v>290</v>
      </c>
      <c r="G121" s="1110">
        <v>290</v>
      </c>
      <c r="H121" s="1110">
        <v>290</v>
      </c>
      <c r="I121" s="1110">
        <v>285</v>
      </c>
      <c r="J121" s="1110">
        <v>250</v>
      </c>
      <c r="K121" s="1110">
        <v>220</v>
      </c>
      <c r="L121" s="1110">
        <v>160</v>
      </c>
      <c r="M121" s="1110">
        <v>795</v>
      </c>
      <c r="N121" s="1127">
        <v>2000</v>
      </c>
      <c r="O121" s="1111" t="s">
        <v>1257</v>
      </c>
      <c r="P121" s="1111"/>
      <c r="Q121" s="1111"/>
      <c r="R121" s="1111"/>
      <c r="S121" s="1111"/>
      <c r="T121" s="1113"/>
    </row>
    <row r="122" spans="1:20" x14ac:dyDescent="0.25">
      <c r="A122" s="1108" t="s">
        <v>1276</v>
      </c>
      <c r="B122" s="1109" t="s">
        <v>1277</v>
      </c>
      <c r="C122" s="1110">
        <v>0</v>
      </c>
      <c r="D122" s="1110">
        <v>5</v>
      </c>
      <c r="E122" s="1110">
        <v>20</v>
      </c>
      <c r="F122" s="1110">
        <v>65</v>
      </c>
      <c r="G122" s="1110">
        <v>105</v>
      </c>
      <c r="H122" s="1110">
        <v>140</v>
      </c>
      <c r="I122" s="1110">
        <v>175</v>
      </c>
      <c r="J122" s="1110">
        <v>210</v>
      </c>
      <c r="K122" s="1110">
        <v>150</v>
      </c>
      <c r="L122" s="1110">
        <v>35</v>
      </c>
      <c r="M122" s="1110">
        <v>195</v>
      </c>
      <c r="N122" s="1110">
        <v>905</v>
      </c>
      <c r="O122" s="1141" t="s">
        <v>1257</v>
      </c>
      <c r="P122" s="1141"/>
      <c r="Q122" s="1141"/>
      <c r="R122" s="1141"/>
      <c r="S122" s="1141"/>
      <c r="T122" s="1142"/>
    </row>
    <row r="123" spans="1:20" x14ac:dyDescent="0.25">
      <c r="A123" s="1108" t="s">
        <v>1278</v>
      </c>
      <c r="B123" s="1109" t="s">
        <v>1279</v>
      </c>
      <c r="C123" s="1110">
        <v>0</v>
      </c>
      <c r="D123" s="1110">
        <v>10</v>
      </c>
      <c r="E123" s="1110">
        <v>150</v>
      </c>
      <c r="F123" s="1110">
        <v>300</v>
      </c>
      <c r="G123" s="1110">
        <v>590</v>
      </c>
      <c r="H123" s="1110">
        <v>460</v>
      </c>
      <c r="I123" s="1110">
        <v>295</v>
      </c>
      <c r="J123" s="1110">
        <v>195</v>
      </c>
      <c r="K123" s="1110">
        <v>0</v>
      </c>
      <c r="L123" s="1110">
        <v>0</v>
      </c>
      <c r="M123" s="1127">
        <v>1050</v>
      </c>
      <c r="N123" s="1127">
        <v>2000</v>
      </c>
      <c r="O123" s="1111" t="s">
        <v>1257</v>
      </c>
      <c r="P123" s="1111"/>
      <c r="Q123" s="1111"/>
      <c r="R123" s="1111"/>
      <c r="S123" s="1111"/>
      <c r="T123" s="1113"/>
    </row>
    <row r="124" spans="1:20" x14ac:dyDescent="0.25">
      <c r="A124" s="1108" t="s">
        <v>1280</v>
      </c>
      <c r="B124" s="1109" t="s">
        <v>1281</v>
      </c>
      <c r="C124" s="1110"/>
      <c r="D124" s="1110"/>
      <c r="E124" s="1110"/>
      <c r="F124" s="1110"/>
      <c r="G124" s="1110"/>
      <c r="H124" s="1110"/>
      <c r="I124" s="1110"/>
      <c r="J124" s="1110"/>
      <c r="K124" s="1110"/>
      <c r="L124" s="1110"/>
      <c r="M124" s="1110"/>
      <c r="N124" s="1110"/>
      <c r="O124" s="1111"/>
      <c r="P124" s="1111"/>
      <c r="Q124" s="1111"/>
      <c r="R124" s="1111"/>
      <c r="S124" s="1111"/>
      <c r="T124" s="1113"/>
    </row>
    <row r="125" spans="1:20" ht="24" customHeight="1" x14ac:dyDescent="0.25">
      <c r="A125" s="1125" t="s">
        <v>1282</v>
      </c>
      <c r="B125" s="1126" t="s">
        <v>1283</v>
      </c>
      <c r="C125" s="1129">
        <v>0</v>
      </c>
      <c r="D125" s="1129">
        <v>72</v>
      </c>
      <c r="E125" s="1129">
        <v>123</v>
      </c>
      <c r="F125" s="1129">
        <v>122</v>
      </c>
      <c r="G125" s="1129">
        <v>115</v>
      </c>
      <c r="H125" s="1129">
        <v>55</v>
      </c>
      <c r="I125" s="1129">
        <v>55</v>
      </c>
      <c r="J125" s="1129">
        <v>33</v>
      </c>
      <c r="K125" s="1129">
        <v>0</v>
      </c>
      <c r="L125" s="1129">
        <v>0</v>
      </c>
      <c r="M125" s="1129">
        <v>432</v>
      </c>
      <c r="N125" s="1129">
        <v>575</v>
      </c>
      <c r="O125" s="1110" t="s">
        <v>1257</v>
      </c>
      <c r="P125" s="1110"/>
      <c r="Q125" s="1110"/>
      <c r="R125" s="1110"/>
      <c r="S125" s="1110"/>
      <c r="T125" s="1113"/>
    </row>
    <row r="126" spans="1:20" x14ac:dyDescent="0.25">
      <c r="A126" s="1108" t="s">
        <v>1284</v>
      </c>
      <c r="B126" s="1109" t="s">
        <v>1285</v>
      </c>
      <c r="C126" s="1110">
        <v>0</v>
      </c>
      <c r="D126" s="1110">
        <v>1</v>
      </c>
      <c r="E126" s="1110">
        <v>2</v>
      </c>
      <c r="F126" s="1110">
        <v>2</v>
      </c>
      <c r="G126" s="1110">
        <v>2</v>
      </c>
      <c r="H126" s="1110">
        <v>2</v>
      </c>
      <c r="I126" s="1110">
        <v>2</v>
      </c>
      <c r="J126" s="1110">
        <v>2</v>
      </c>
      <c r="K126" s="1110">
        <v>2</v>
      </c>
      <c r="L126" s="1110">
        <v>1</v>
      </c>
      <c r="M126" s="1110">
        <v>7</v>
      </c>
      <c r="N126" s="1110">
        <v>16</v>
      </c>
      <c r="O126" s="1111" t="s">
        <v>1257</v>
      </c>
      <c r="P126" s="1111"/>
      <c r="Q126" s="1111"/>
      <c r="R126" s="1111"/>
      <c r="S126" s="1111"/>
      <c r="T126" s="1113"/>
    </row>
    <row r="127" spans="1:20" x14ac:dyDescent="0.25">
      <c r="A127" s="1108" t="s">
        <v>1286</v>
      </c>
      <c r="B127" s="1109" t="s">
        <v>1287</v>
      </c>
      <c r="C127" s="1110">
        <v>0</v>
      </c>
      <c r="D127" s="1110">
        <v>49</v>
      </c>
      <c r="E127" s="1110">
        <v>190</v>
      </c>
      <c r="F127" s="1110">
        <v>379</v>
      </c>
      <c r="G127" s="1110">
        <v>531</v>
      </c>
      <c r="H127" s="1110">
        <v>619</v>
      </c>
      <c r="I127" s="1110">
        <v>580</v>
      </c>
      <c r="J127" s="1110">
        <v>387</v>
      </c>
      <c r="K127" s="1110">
        <v>196</v>
      </c>
      <c r="L127" s="1110">
        <v>69</v>
      </c>
      <c r="M127" s="1127">
        <v>1149</v>
      </c>
      <c r="N127" s="1127">
        <v>3000</v>
      </c>
      <c r="O127" s="1111" t="s">
        <v>1257</v>
      </c>
      <c r="P127" s="1111"/>
      <c r="Q127" s="1111"/>
      <c r="R127" s="1111"/>
      <c r="S127" s="1111"/>
      <c r="T127" s="1113"/>
    </row>
    <row r="128" spans="1:20" x14ac:dyDescent="0.25">
      <c r="A128" s="1125" t="s">
        <v>1288</v>
      </c>
      <c r="B128" s="1126" t="s">
        <v>1289</v>
      </c>
      <c r="C128" s="1110">
        <v>0</v>
      </c>
      <c r="D128" s="1110">
        <v>22</v>
      </c>
      <c r="E128" s="1110">
        <v>22</v>
      </c>
      <c r="F128" s="1110">
        <v>6</v>
      </c>
      <c r="G128" s="1110">
        <v>0</v>
      </c>
      <c r="H128" s="1110">
        <v>0</v>
      </c>
      <c r="I128" s="1110">
        <v>0</v>
      </c>
      <c r="J128" s="1110">
        <v>0</v>
      </c>
      <c r="K128" s="1110">
        <v>0</v>
      </c>
      <c r="L128" s="1110">
        <v>0</v>
      </c>
      <c r="M128" s="1110">
        <v>50</v>
      </c>
      <c r="N128" s="1110">
        <v>50</v>
      </c>
      <c r="O128" s="1111" t="s">
        <v>1257</v>
      </c>
      <c r="P128" s="1111"/>
      <c r="Q128" s="1111"/>
      <c r="R128" s="1111"/>
      <c r="S128" s="1111"/>
      <c r="T128" s="1112"/>
    </row>
    <row r="129" spans="1:20" x14ac:dyDescent="0.25">
      <c r="A129" s="1108" t="s">
        <v>1290</v>
      </c>
      <c r="B129" s="1109" t="s">
        <v>1291</v>
      </c>
      <c r="C129" s="1110">
        <v>0</v>
      </c>
      <c r="D129" s="1110">
        <v>30</v>
      </c>
      <c r="E129" s="1110">
        <v>30</v>
      </c>
      <c r="F129" s="1110">
        <v>40</v>
      </c>
      <c r="G129" s="1110">
        <v>15</v>
      </c>
      <c r="H129" s="1110">
        <v>5</v>
      </c>
      <c r="I129" s="1110">
        <v>5</v>
      </c>
      <c r="J129" s="1110">
        <v>0</v>
      </c>
      <c r="K129" s="1110">
        <v>0</v>
      </c>
      <c r="L129" s="1110">
        <v>0</v>
      </c>
      <c r="M129" s="1110">
        <v>115</v>
      </c>
      <c r="N129" s="1110">
        <v>125</v>
      </c>
      <c r="O129" s="1111" t="s">
        <v>1257</v>
      </c>
      <c r="P129" s="1111"/>
      <c r="Q129" s="1111"/>
      <c r="R129" s="1111"/>
      <c r="S129" s="1111"/>
      <c r="T129" s="1113"/>
    </row>
    <row r="130" spans="1:20" x14ac:dyDescent="0.25">
      <c r="A130" s="1108" t="s">
        <v>1292</v>
      </c>
      <c r="B130" s="1109" t="s">
        <v>1293</v>
      </c>
      <c r="C130" s="1110">
        <v>0</v>
      </c>
      <c r="D130" s="1110">
        <v>10</v>
      </c>
      <c r="E130" s="1110">
        <v>230</v>
      </c>
      <c r="F130" s="1110">
        <v>660</v>
      </c>
      <c r="G130" s="1110">
        <v>945</v>
      </c>
      <c r="H130" s="1110">
        <v>605</v>
      </c>
      <c r="I130" s="1110">
        <v>100</v>
      </c>
      <c r="J130" s="1110">
        <v>0</v>
      </c>
      <c r="K130" s="1110">
        <v>0</v>
      </c>
      <c r="L130" s="1110">
        <v>0</v>
      </c>
      <c r="M130" s="1127">
        <v>1845</v>
      </c>
      <c r="N130" s="1127">
        <v>2550</v>
      </c>
      <c r="O130" s="1111" t="s">
        <v>1257</v>
      </c>
      <c r="P130" s="1111"/>
      <c r="Q130" s="1111"/>
      <c r="R130" s="1111"/>
      <c r="S130" s="1111"/>
      <c r="T130" s="1113"/>
    </row>
    <row r="131" spans="1:20" x14ac:dyDescent="0.25">
      <c r="A131" s="1108" t="s">
        <v>1294</v>
      </c>
      <c r="B131" s="1109" t="s">
        <v>1295</v>
      </c>
      <c r="C131" s="1110">
        <v>0</v>
      </c>
      <c r="D131" s="1110">
        <v>10</v>
      </c>
      <c r="E131" s="1110">
        <v>45</v>
      </c>
      <c r="F131" s="1110">
        <v>70</v>
      </c>
      <c r="G131" s="1110">
        <v>100</v>
      </c>
      <c r="H131" s="1110">
        <v>100</v>
      </c>
      <c r="I131" s="1110">
        <v>100</v>
      </c>
      <c r="J131" s="1110">
        <v>100</v>
      </c>
      <c r="K131" s="1110">
        <v>100</v>
      </c>
      <c r="L131" s="1110">
        <v>100</v>
      </c>
      <c r="M131" s="1110">
        <v>225</v>
      </c>
      <c r="N131" s="1110">
        <v>725</v>
      </c>
      <c r="O131" s="1111" t="s">
        <v>1257</v>
      </c>
      <c r="P131" s="1111"/>
      <c r="Q131" s="1111"/>
      <c r="R131" s="1111"/>
      <c r="S131" s="1111"/>
      <c r="T131" s="1113"/>
    </row>
    <row r="132" spans="1:20" x14ac:dyDescent="0.25">
      <c r="A132" s="1125" t="s">
        <v>1296</v>
      </c>
      <c r="B132" s="1126" t="s">
        <v>1297</v>
      </c>
      <c r="C132" s="1110">
        <v>0</v>
      </c>
      <c r="D132" s="1110">
        <v>14</v>
      </c>
      <c r="E132" s="1110">
        <v>11</v>
      </c>
      <c r="F132" s="1110">
        <v>0</v>
      </c>
      <c r="G132" s="1110">
        <v>0</v>
      </c>
      <c r="H132" s="1110">
        <v>0</v>
      </c>
      <c r="I132" s="1110">
        <v>0</v>
      </c>
      <c r="J132" s="1110">
        <v>0</v>
      </c>
      <c r="K132" s="1110">
        <v>0</v>
      </c>
      <c r="L132" s="1110">
        <v>0</v>
      </c>
      <c r="M132" s="1110">
        <v>25</v>
      </c>
      <c r="N132" s="1110">
        <v>25</v>
      </c>
      <c r="O132" s="1111" t="s">
        <v>1261</v>
      </c>
      <c r="P132" s="1111"/>
      <c r="Q132" s="1111"/>
      <c r="R132" s="1111"/>
      <c r="S132" s="1111"/>
      <c r="T132" s="1112"/>
    </row>
    <row r="133" spans="1:20" x14ac:dyDescent="0.25">
      <c r="A133" s="1125" t="s">
        <v>1298</v>
      </c>
      <c r="B133" s="1126" t="s">
        <v>1299</v>
      </c>
      <c r="C133" s="1110">
        <v>0</v>
      </c>
      <c r="D133" s="1110">
        <v>84</v>
      </c>
      <c r="E133" s="1110">
        <v>320</v>
      </c>
      <c r="F133" s="1110">
        <v>638</v>
      </c>
      <c r="G133" s="1110">
        <v>928</v>
      </c>
      <c r="H133" s="1110">
        <v>940</v>
      </c>
      <c r="I133" s="1110">
        <v>720</v>
      </c>
      <c r="J133" s="1110">
        <v>300</v>
      </c>
      <c r="K133" s="1110">
        <v>120</v>
      </c>
      <c r="L133" s="1110">
        <v>0</v>
      </c>
      <c r="M133" s="1127">
        <v>1970</v>
      </c>
      <c r="N133" s="1127">
        <v>4050</v>
      </c>
      <c r="O133" s="1111" t="s">
        <v>1261</v>
      </c>
      <c r="P133" s="1111"/>
      <c r="Q133" s="1111"/>
      <c r="R133" s="1111"/>
      <c r="S133" s="1111"/>
      <c r="T133" s="1113"/>
    </row>
    <row r="134" spans="1:20" x14ac:dyDescent="0.25">
      <c r="A134" s="1108" t="s">
        <v>1300</v>
      </c>
      <c r="B134" s="1109" t="s">
        <v>1301</v>
      </c>
      <c r="C134" s="1110">
        <v>0</v>
      </c>
      <c r="D134" s="1110">
        <v>40</v>
      </c>
      <c r="E134" s="1110">
        <v>200</v>
      </c>
      <c r="F134" s="1110">
        <v>400</v>
      </c>
      <c r="G134" s="1110">
        <v>660</v>
      </c>
      <c r="H134" s="1110">
        <v>640</v>
      </c>
      <c r="I134" s="1110">
        <v>515</v>
      </c>
      <c r="J134" s="1110">
        <v>240</v>
      </c>
      <c r="K134" s="1110">
        <v>105</v>
      </c>
      <c r="L134" s="1110">
        <v>0</v>
      </c>
      <c r="M134" s="1127">
        <v>1300</v>
      </c>
      <c r="N134" s="1127">
        <v>2800</v>
      </c>
      <c r="O134" s="1111" t="s">
        <v>1261</v>
      </c>
      <c r="P134" s="1111"/>
      <c r="Q134" s="1111"/>
      <c r="R134" s="1111"/>
      <c r="S134" s="1111"/>
      <c r="T134" s="1113"/>
    </row>
    <row r="135" spans="1:20" x14ac:dyDescent="0.25">
      <c r="A135" s="1108" t="s">
        <v>1302</v>
      </c>
      <c r="B135" s="1109" t="s">
        <v>1303</v>
      </c>
      <c r="C135" s="1143">
        <v>0</v>
      </c>
      <c r="D135" s="1143">
        <v>138</v>
      </c>
      <c r="E135" s="1143">
        <v>566</v>
      </c>
      <c r="F135" s="1143">
        <v>994</v>
      </c>
      <c r="G135" s="1144">
        <v>1328</v>
      </c>
      <c r="H135" s="1144">
        <v>1791</v>
      </c>
      <c r="I135" s="1144">
        <v>2350</v>
      </c>
      <c r="J135" s="1144">
        <v>2928</v>
      </c>
      <c r="K135" s="1144">
        <v>3548</v>
      </c>
      <c r="L135" s="1144">
        <v>4162</v>
      </c>
      <c r="M135" s="1144">
        <v>3026</v>
      </c>
      <c r="N135" s="1144">
        <v>17805</v>
      </c>
      <c r="O135" s="1145" t="s">
        <v>54</v>
      </c>
      <c r="P135" s="1145"/>
      <c r="Q135" s="1145"/>
      <c r="R135" s="1145"/>
      <c r="S135" s="1145"/>
      <c r="T135" s="1146"/>
    </row>
    <row r="136" spans="1:20" x14ac:dyDescent="0.25">
      <c r="A136" s="1108" t="s">
        <v>1304</v>
      </c>
      <c r="B136" s="1109" t="s">
        <v>1305</v>
      </c>
      <c r="C136" s="1143">
        <v>0</v>
      </c>
      <c r="D136" s="1143">
        <v>0</v>
      </c>
      <c r="E136" s="1143">
        <v>235</v>
      </c>
      <c r="F136" s="1143">
        <v>317</v>
      </c>
      <c r="G136" s="1143">
        <v>304</v>
      </c>
      <c r="H136" s="1143">
        <v>314</v>
      </c>
      <c r="I136" s="1143">
        <v>324</v>
      </c>
      <c r="J136" s="1143">
        <v>335</v>
      </c>
      <c r="K136" s="1143">
        <v>346</v>
      </c>
      <c r="L136" s="1143">
        <v>359</v>
      </c>
      <c r="M136" s="1143">
        <v>856</v>
      </c>
      <c r="N136" s="1144">
        <v>2534</v>
      </c>
      <c r="O136" s="1145" t="s">
        <v>54</v>
      </c>
      <c r="P136" s="1145"/>
      <c r="Q136" s="1145"/>
      <c r="R136" s="1145"/>
      <c r="S136" s="1145"/>
      <c r="T136" s="1113"/>
    </row>
    <row r="137" spans="1:20" ht="24" customHeight="1" x14ac:dyDescent="0.25">
      <c r="A137" s="1108" t="s">
        <v>1306</v>
      </c>
      <c r="B137" s="1109" t="s">
        <v>1307</v>
      </c>
      <c r="C137" s="1147"/>
      <c r="D137" s="1147">
        <v>333</v>
      </c>
      <c r="E137" s="1147">
        <v>314</v>
      </c>
      <c r="F137" s="1147">
        <v>314</v>
      </c>
      <c r="G137" s="1147">
        <v>-4530</v>
      </c>
      <c r="H137" s="1147">
        <v>-9118</v>
      </c>
      <c r="I137" s="1147">
        <v>-18184</v>
      </c>
      <c r="J137" s="1147">
        <v>-20493</v>
      </c>
      <c r="K137" s="1147">
        <v>-23289</v>
      </c>
      <c r="L137" s="1147">
        <v>-24298</v>
      </c>
      <c r="M137" s="1147">
        <v>-569</v>
      </c>
      <c r="N137" s="1147">
        <v>-95951</v>
      </c>
      <c r="O137" s="1148" t="s">
        <v>55</v>
      </c>
      <c r="P137" s="1148"/>
      <c r="Q137" s="1148"/>
      <c r="R137" s="1148"/>
      <c r="S137" s="1148"/>
      <c r="T137" s="1149"/>
    </row>
    <row r="138" spans="1:20" ht="36" customHeight="1" x14ac:dyDescent="0.25">
      <c r="A138" s="1108" t="s">
        <v>1302</v>
      </c>
      <c r="B138" s="1109" t="s">
        <v>1308</v>
      </c>
      <c r="C138" s="1150">
        <v>0</v>
      </c>
      <c r="D138" s="1150">
        <v>-2447</v>
      </c>
      <c r="E138" s="1150">
        <v>-3716</v>
      </c>
      <c r="F138" s="1150">
        <v>-19171</v>
      </c>
      <c r="G138" s="1150">
        <v>-7014</v>
      </c>
      <c r="H138" s="1150">
        <v>-7706</v>
      </c>
      <c r="I138" s="1150">
        <v>-8497</v>
      </c>
      <c r="J138" s="1150">
        <v>-9360</v>
      </c>
      <c r="K138" s="1150">
        <v>-10602</v>
      </c>
      <c r="L138" s="1150">
        <v>-11603</v>
      </c>
      <c r="M138" s="1150">
        <v>-32348</v>
      </c>
      <c r="N138" s="1150">
        <v>-80116</v>
      </c>
      <c r="O138" s="1148" t="s">
        <v>55</v>
      </c>
      <c r="P138" s="1148"/>
      <c r="Q138" s="1148"/>
      <c r="R138" s="1148"/>
      <c r="S138" s="1148"/>
      <c r="T138" s="1113"/>
    </row>
    <row r="139" spans="1:20" x14ac:dyDescent="0.25">
      <c r="A139" s="1108" t="s">
        <v>1309</v>
      </c>
      <c r="B139" s="1109" t="s">
        <v>1310</v>
      </c>
      <c r="C139" s="1147">
        <v>0</v>
      </c>
      <c r="D139" s="1147">
        <v>53</v>
      </c>
      <c r="E139" s="1147">
        <v>1991</v>
      </c>
      <c r="F139" s="1147">
        <v>3308</v>
      </c>
      <c r="G139" s="1147">
        <v>3545</v>
      </c>
      <c r="H139" s="1147">
        <v>4537</v>
      </c>
      <c r="I139" s="1147">
        <v>4476</v>
      </c>
      <c r="J139" s="1147">
        <v>3947</v>
      </c>
      <c r="K139" s="1147">
        <v>1781</v>
      </c>
      <c r="L139" s="1147">
        <v>1462</v>
      </c>
      <c r="M139" s="1147">
        <v>8897</v>
      </c>
      <c r="N139" s="1147">
        <v>25100</v>
      </c>
      <c r="O139" s="1148" t="s">
        <v>55</v>
      </c>
      <c r="P139" s="1148"/>
      <c r="Q139" s="1148"/>
      <c r="R139" s="1148"/>
      <c r="S139" s="1148"/>
      <c r="T139" s="1113"/>
    </row>
    <row r="140" spans="1:20" x14ac:dyDescent="0.25">
      <c r="A140" s="1108" t="s">
        <v>1311</v>
      </c>
      <c r="B140" s="1109" t="s">
        <v>1312</v>
      </c>
      <c r="C140" s="1151">
        <v>0</v>
      </c>
      <c r="D140" s="1151">
        <v>0</v>
      </c>
      <c r="E140" s="1151">
        <v>0</v>
      </c>
      <c r="F140" s="1151">
        <v>0</v>
      </c>
      <c r="G140" s="1151">
        <v>0</v>
      </c>
      <c r="H140" s="1152">
        <v>-16290</v>
      </c>
      <c r="I140" s="1152">
        <v>-25656</v>
      </c>
      <c r="J140" s="1152">
        <v>-23394</v>
      </c>
      <c r="K140" s="1152">
        <v>-27561</v>
      </c>
      <c r="L140" s="1152">
        <v>-29250</v>
      </c>
      <c r="M140" s="1151">
        <v>0</v>
      </c>
      <c r="N140" s="1152">
        <v>-122151</v>
      </c>
      <c r="O140" s="1148" t="s">
        <v>55</v>
      </c>
      <c r="P140" s="1148"/>
      <c r="Q140" s="1148"/>
      <c r="R140" s="1148"/>
      <c r="S140" s="1148"/>
      <c r="T140" s="1113"/>
    </row>
    <row r="141" spans="1:20" ht="36" customHeight="1" x14ac:dyDescent="0.25">
      <c r="A141" s="1108" t="s">
        <v>1313</v>
      </c>
      <c r="B141" s="1109" t="s">
        <v>1314</v>
      </c>
      <c r="C141" s="1147">
        <v>0</v>
      </c>
      <c r="D141" s="1147">
        <v>-70</v>
      </c>
      <c r="E141" s="1147">
        <v>300</v>
      </c>
      <c r="F141" s="1147">
        <v>862</v>
      </c>
      <c r="G141" s="1147">
        <v>577</v>
      </c>
      <c r="H141" s="1147">
        <v>464</v>
      </c>
      <c r="I141" s="1147">
        <v>549</v>
      </c>
      <c r="J141" s="1147">
        <v>501</v>
      </c>
      <c r="K141" s="1147">
        <v>591</v>
      </c>
      <c r="L141" s="1147">
        <v>630</v>
      </c>
      <c r="M141" s="1147">
        <v>1669</v>
      </c>
      <c r="N141" s="1147">
        <v>4404</v>
      </c>
      <c r="O141" s="1148" t="s">
        <v>55</v>
      </c>
      <c r="P141" s="1148"/>
      <c r="Q141" s="1148"/>
      <c r="R141" s="1148"/>
      <c r="S141" s="1148"/>
      <c r="T141" s="1113"/>
    </row>
    <row r="142" spans="1:20" x14ac:dyDescent="0.25">
      <c r="A142" s="1108" t="s">
        <v>1315</v>
      </c>
      <c r="B142" s="1109" t="s">
        <v>1316</v>
      </c>
      <c r="C142" s="1151">
        <v>0</v>
      </c>
      <c r="D142" s="1151">
        <v>0</v>
      </c>
      <c r="E142" s="1151">
        <v>195</v>
      </c>
      <c r="F142" s="1151">
        <v>230</v>
      </c>
      <c r="G142" s="1151">
        <v>248</v>
      </c>
      <c r="H142" s="1151">
        <v>266</v>
      </c>
      <c r="I142" s="1151">
        <v>311</v>
      </c>
      <c r="J142" s="1151">
        <v>281</v>
      </c>
      <c r="K142" s="1151">
        <v>327</v>
      </c>
      <c r="L142" s="1151">
        <v>347</v>
      </c>
      <c r="M142" s="1151">
        <v>673</v>
      </c>
      <c r="N142" s="1152">
        <v>2205</v>
      </c>
      <c r="O142" s="1148" t="s">
        <v>55</v>
      </c>
      <c r="P142" s="1148"/>
      <c r="Q142" s="1148"/>
      <c r="R142" s="1148"/>
      <c r="S142" s="1148"/>
      <c r="T142" s="1113"/>
    </row>
    <row r="143" spans="1:20" x14ac:dyDescent="0.25">
      <c r="A143" s="1125" t="s">
        <v>1317</v>
      </c>
      <c r="B143" s="1126" t="s">
        <v>1318</v>
      </c>
      <c r="C143" s="1153">
        <v>0</v>
      </c>
      <c r="D143" s="1153">
        <v>70</v>
      </c>
      <c r="E143" s="1153">
        <v>132</v>
      </c>
      <c r="F143" s="1153">
        <v>51</v>
      </c>
      <c r="G143" s="1153">
        <v>20</v>
      </c>
      <c r="H143" s="1153">
        <v>8</v>
      </c>
      <c r="I143" s="1153">
        <v>0</v>
      </c>
      <c r="J143" s="1153">
        <v>0</v>
      </c>
      <c r="K143" s="1153">
        <v>0</v>
      </c>
      <c r="L143" s="1153">
        <v>0</v>
      </c>
      <c r="M143" s="1153">
        <v>273</v>
      </c>
      <c r="N143" s="1153">
        <v>281</v>
      </c>
      <c r="O143" s="1154" t="s">
        <v>1319</v>
      </c>
      <c r="P143" s="1154"/>
      <c r="Q143" s="1154"/>
      <c r="R143" s="1154"/>
      <c r="S143" s="1154"/>
      <c r="T143" s="1113" t="s">
        <v>1320</v>
      </c>
    </row>
    <row r="144" spans="1:20" x14ac:dyDescent="0.25">
      <c r="A144" s="1125" t="s">
        <v>1321</v>
      </c>
      <c r="B144" s="1126" t="s">
        <v>1322</v>
      </c>
      <c r="C144" s="1153">
        <v>0</v>
      </c>
      <c r="D144" s="1153">
        <v>465</v>
      </c>
      <c r="E144" s="1155">
        <v>2420</v>
      </c>
      <c r="F144" s="1155">
        <v>4755</v>
      </c>
      <c r="G144" s="1155">
        <v>5980</v>
      </c>
      <c r="H144" s="1155">
        <v>4694</v>
      </c>
      <c r="I144" s="1155">
        <v>1573</v>
      </c>
      <c r="J144" s="1153">
        <v>93</v>
      </c>
      <c r="K144" s="1153">
        <v>0</v>
      </c>
      <c r="L144" s="1153">
        <v>0</v>
      </c>
      <c r="M144" s="1155">
        <v>13620</v>
      </c>
      <c r="N144" s="1155">
        <v>19980</v>
      </c>
      <c r="O144" s="1154" t="s">
        <v>1319</v>
      </c>
      <c r="P144" s="1154"/>
      <c r="Q144" s="1154"/>
      <c r="R144" s="1154"/>
      <c r="S144" s="1154"/>
      <c r="T144" s="1113" t="s">
        <v>1323</v>
      </c>
    </row>
    <row r="145" spans="1:20" x14ac:dyDescent="0.25">
      <c r="A145" s="1108" t="s">
        <v>1324</v>
      </c>
      <c r="B145" s="1109" t="s">
        <v>1325</v>
      </c>
      <c r="C145" s="1153">
        <v>0</v>
      </c>
      <c r="D145" s="1153">
        <v>20</v>
      </c>
      <c r="E145" s="1153">
        <v>65</v>
      </c>
      <c r="F145" s="1153">
        <v>110</v>
      </c>
      <c r="G145" s="1153">
        <v>135</v>
      </c>
      <c r="H145" s="1153">
        <v>180</v>
      </c>
      <c r="I145" s="1153">
        <v>230</v>
      </c>
      <c r="J145" s="1153">
        <v>180</v>
      </c>
      <c r="K145" s="1153">
        <v>60</v>
      </c>
      <c r="L145" s="1153">
        <v>10</v>
      </c>
      <c r="M145" s="1153">
        <v>330</v>
      </c>
      <c r="N145" s="1153">
        <v>990</v>
      </c>
      <c r="O145" s="1154" t="s">
        <v>1319</v>
      </c>
      <c r="P145" s="1154"/>
      <c r="Q145" s="1154"/>
      <c r="R145" s="1154"/>
      <c r="S145" s="1154"/>
      <c r="T145" s="1136" t="s">
        <v>1326</v>
      </c>
    </row>
    <row r="146" spans="1:20" x14ac:dyDescent="0.25">
      <c r="A146" s="1108" t="s">
        <v>1327</v>
      </c>
      <c r="B146" s="1109" t="s">
        <v>1328</v>
      </c>
      <c r="C146" s="1153">
        <v>0</v>
      </c>
      <c r="D146" s="1155">
        <v>20892</v>
      </c>
      <c r="E146" s="1155">
        <v>11288</v>
      </c>
      <c r="F146" s="1155">
        <v>9651</v>
      </c>
      <c r="G146" s="1155">
        <v>-8548</v>
      </c>
      <c r="H146" s="1153">
        <v>-463</v>
      </c>
      <c r="I146" s="1153">
        <v>0</v>
      </c>
      <c r="J146" s="1153">
        <v>0</v>
      </c>
      <c r="K146" s="1153">
        <v>0</v>
      </c>
      <c r="L146" s="1153">
        <v>0</v>
      </c>
      <c r="M146" s="1155">
        <v>33283</v>
      </c>
      <c r="N146" s="1155">
        <v>32820</v>
      </c>
      <c r="O146" s="1156" t="s">
        <v>1319</v>
      </c>
      <c r="P146" s="1156"/>
      <c r="Q146" s="1156"/>
      <c r="R146" s="1156"/>
      <c r="S146" s="1156"/>
      <c r="T146" s="1113"/>
    </row>
    <row r="147" spans="1:20" x14ac:dyDescent="0.25">
      <c r="A147" s="1108" t="s">
        <v>1329</v>
      </c>
      <c r="B147" s="1109" t="s">
        <v>1330</v>
      </c>
      <c r="C147" s="1153">
        <v>0</v>
      </c>
      <c r="D147" s="1153">
        <v>24</v>
      </c>
      <c r="E147" s="1153">
        <v>65</v>
      </c>
      <c r="F147" s="1153">
        <v>112</v>
      </c>
      <c r="G147" s="1153">
        <v>130</v>
      </c>
      <c r="H147" s="1153">
        <v>98</v>
      </c>
      <c r="I147" s="1153">
        <v>56</v>
      </c>
      <c r="J147" s="1153">
        <v>15</v>
      </c>
      <c r="K147" s="1153">
        <v>0</v>
      </c>
      <c r="L147" s="1153">
        <v>0</v>
      </c>
      <c r="M147" s="1153">
        <v>331</v>
      </c>
      <c r="N147" s="1153">
        <v>500</v>
      </c>
      <c r="O147" s="1156" t="s">
        <v>1319</v>
      </c>
      <c r="P147" s="1156"/>
      <c r="Q147" s="1156"/>
      <c r="R147" s="1156"/>
      <c r="S147" s="1156"/>
      <c r="T147" s="1113"/>
    </row>
    <row r="148" spans="1:20" x14ac:dyDescent="0.25">
      <c r="A148" s="1157" t="s">
        <v>1331</v>
      </c>
      <c r="B148" s="1158" t="s">
        <v>1332</v>
      </c>
      <c r="C148" s="1153">
        <v>0</v>
      </c>
      <c r="D148" s="1153">
        <v>50</v>
      </c>
      <c r="E148" s="1153">
        <v>500</v>
      </c>
      <c r="F148" s="1153">
        <v>920</v>
      </c>
      <c r="G148" s="1155">
        <v>1310</v>
      </c>
      <c r="H148" s="1155">
        <v>1680</v>
      </c>
      <c r="I148" s="1155">
        <v>1780</v>
      </c>
      <c r="J148" s="1155">
        <v>1640</v>
      </c>
      <c r="K148" s="1155">
        <v>1090</v>
      </c>
      <c r="L148" s="1153">
        <v>630</v>
      </c>
      <c r="M148" s="1155">
        <v>2780</v>
      </c>
      <c r="N148" s="1155">
        <v>9600</v>
      </c>
      <c r="O148" s="1156" t="s">
        <v>1319</v>
      </c>
      <c r="P148" s="1156"/>
      <c r="Q148" s="1156"/>
      <c r="R148" s="1156"/>
      <c r="S148" s="1156"/>
      <c r="T148" s="1159"/>
    </row>
    <row r="149" spans="1:20" x14ac:dyDescent="0.25">
      <c r="A149" s="1108" t="s">
        <v>1333</v>
      </c>
      <c r="B149" s="1109" t="s">
        <v>1334</v>
      </c>
      <c r="C149" s="1153">
        <v>0</v>
      </c>
      <c r="D149" s="1153">
        <v>30</v>
      </c>
      <c r="E149" s="1153">
        <v>90</v>
      </c>
      <c r="F149" s="1153">
        <v>90</v>
      </c>
      <c r="G149" s="1153">
        <v>85</v>
      </c>
      <c r="H149" s="1153">
        <v>70</v>
      </c>
      <c r="I149" s="1153">
        <v>65</v>
      </c>
      <c r="J149" s="1153">
        <v>65</v>
      </c>
      <c r="K149" s="1153">
        <v>35</v>
      </c>
      <c r="L149" s="1153">
        <v>15</v>
      </c>
      <c r="M149" s="1153">
        <v>295</v>
      </c>
      <c r="N149" s="1153">
        <v>545</v>
      </c>
      <c r="O149" s="1156" t="s">
        <v>1319</v>
      </c>
      <c r="P149" s="1156"/>
      <c r="Q149" s="1156"/>
      <c r="R149" s="1156"/>
      <c r="S149" s="1156"/>
      <c r="T149" s="1113"/>
    </row>
    <row r="150" spans="1:20" x14ac:dyDescent="0.25">
      <c r="A150" s="1108" t="s">
        <v>1335</v>
      </c>
      <c r="B150" s="1109" t="s">
        <v>1336</v>
      </c>
      <c r="C150" s="1153">
        <v>0</v>
      </c>
      <c r="D150" s="1153">
        <v>185</v>
      </c>
      <c r="E150" s="1153">
        <v>394</v>
      </c>
      <c r="F150" s="1153">
        <v>639</v>
      </c>
      <c r="G150" s="1153">
        <v>722</v>
      </c>
      <c r="H150" s="1153">
        <v>595</v>
      </c>
      <c r="I150" s="1153">
        <v>346</v>
      </c>
      <c r="J150" s="1153">
        <v>101</v>
      </c>
      <c r="K150" s="1153">
        <v>18</v>
      </c>
      <c r="L150" s="1153">
        <v>0</v>
      </c>
      <c r="M150" s="1155">
        <v>1940</v>
      </c>
      <c r="N150" s="1155">
        <v>3000</v>
      </c>
      <c r="O150" s="1154" t="s">
        <v>1319</v>
      </c>
      <c r="P150" s="1154"/>
      <c r="Q150" s="1154"/>
      <c r="R150" s="1154"/>
      <c r="S150" s="1154"/>
      <c r="T150" s="1113"/>
    </row>
    <row r="151" spans="1:20" x14ac:dyDescent="0.25">
      <c r="A151" s="1108" t="s">
        <v>1337</v>
      </c>
      <c r="B151" s="1109" t="s">
        <v>1338</v>
      </c>
      <c r="C151" s="1153">
        <v>0</v>
      </c>
      <c r="D151" s="1153">
        <v>8</v>
      </c>
      <c r="E151" s="1153">
        <v>26</v>
      </c>
      <c r="F151" s="1153">
        <v>41</v>
      </c>
      <c r="G151" s="1153">
        <v>38</v>
      </c>
      <c r="H151" s="1153">
        <v>22</v>
      </c>
      <c r="I151" s="1153">
        <v>11</v>
      </c>
      <c r="J151" s="1153">
        <v>4</v>
      </c>
      <c r="K151" s="1153">
        <v>0</v>
      </c>
      <c r="L151" s="1153">
        <v>0</v>
      </c>
      <c r="M151" s="1153">
        <v>113</v>
      </c>
      <c r="N151" s="1153">
        <v>150</v>
      </c>
      <c r="O151" s="1154" t="s">
        <v>1319</v>
      </c>
      <c r="P151" s="1154"/>
      <c r="Q151" s="1154"/>
      <c r="R151" s="1154"/>
      <c r="S151" s="1154"/>
      <c r="T151" s="1113"/>
    </row>
    <row r="152" spans="1:20" ht="24" customHeight="1" x14ac:dyDescent="0.25">
      <c r="A152" s="1125" t="s">
        <v>1339</v>
      </c>
      <c r="B152" s="1126" t="s">
        <v>1340</v>
      </c>
      <c r="C152" s="1160">
        <v>0</v>
      </c>
      <c r="D152" s="1161">
        <v>77</v>
      </c>
      <c r="E152" s="1161">
        <v>232</v>
      </c>
      <c r="F152" s="1161">
        <v>341</v>
      </c>
      <c r="G152" s="1161">
        <v>496</v>
      </c>
      <c r="H152" s="1161">
        <v>310</v>
      </c>
      <c r="I152" s="1161">
        <v>47</v>
      </c>
      <c r="J152" s="1161">
        <v>31</v>
      </c>
      <c r="K152" s="1161">
        <v>15</v>
      </c>
      <c r="L152" s="1161">
        <v>1</v>
      </c>
      <c r="M152" s="1162">
        <v>1146</v>
      </c>
      <c r="N152" s="1162">
        <v>1550</v>
      </c>
      <c r="O152" s="1163" t="s">
        <v>1341</v>
      </c>
      <c r="P152" s="1170"/>
      <c r="Q152" s="1170"/>
      <c r="R152" s="1170"/>
      <c r="S152" s="1170"/>
      <c r="T152" s="1113" t="s">
        <v>1342</v>
      </c>
    </row>
    <row r="153" spans="1:20" ht="30" customHeight="1" x14ac:dyDescent="0.25">
      <c r="A153" s="1108" t="s">
        <v>1343</v>
      </c>
      <c r="B153" s="1109" t="s">
        <v>1344</v>
      </c>
      <c r="C153" s="1164">
        <v>0</v>
      </c>
      <c r="D153" s="1164">
        <v>264</v>
      </c>
      <c r="E153" s="1164">
        <v>715</v>
      </c>
      <c r="F153" s="1164">
        <v>1393</v>
      </c>
      <c r="G153" s="1164">
        <v>2492</v>
      </c>
      <c r="H153" s="1164">
        <v>3364</v>
      </c>
      <c r="I153" s="1164">
        <v>3209</v>
      </c>
      <c r="J153" s="1164">
        <v>2750</v>
      </c>
      <c r="K153" s="1164">
        <v>1783</v>
      </c>
      <c r="L153" s="1164">
        <v>744</v>
      </c>
      <c r="M153" s="1165">
        <v>4864</v>
      </c>
      <c r="N153" s="1165">
        <v>16714</v>
      </c>
      <c r="O153" s="1171" t="s">
        <v>52</v>
      </c>
      <c r="P153" s="1171"/>
      <c r="Q153" s="1171"/>
      <c r="R153" s="1171"/>
      <c r="S153" s="1171"/>
      <c r="T153" s="1172" t="s">
        <v>1345</v>
      </c>
    </row>
    <row r="154" spans="1:20" x14ac:dyDescent="0.25">
      <c r="A154" s="1108" t="s">
        <v>1346</v>
      </c>
      <c r="B154" s="1109" t="s">
        <v>1347</v>
      </c>
      <c r="C154" s="1173">
        <v>0</v>
      </c>
      <c r="D154" s="1173">
        <v>0</v>
      </c>
      <c r="E154" s="1173">
        <v>50</v>
      </c>
      <c r="F154" s="1173">
        <v>270</v>
      </c>
      <c r="G154" s="1173">
        <v>680</v>
      </c>
      <c r="H154" s="1173">
        <v>850</v>
      </c>
      <c r="I154" s="1173">
        <v>730</v>
      </c>
      <c r="J154" s="1173">
        <v>485</v>
      </c>
      <c r="K154" s="1173">
        <v>285</v>
      </c>
      <c r="L154" s="1173">
        <v>145</v>
      </c>
      <c r="M154" s="1174">
        <v>1000</v>
      </c>
      <c r="N154" s="1174">
        <v>3495</v>
      </c>
      <c r="O154" s="1175" t="s">
        <v>52</v>
      </c>
      <c r="P154" s="1175"/>
      <c r="Q154" s="1175"/>
      <c r="R154" s="1175"/>
      <c r="S154" s="1175"/>
      <c r="T154" s="1176" t="s">
        <v>1348</v>
      </c>
    </row>
    <row r="155" spans="1:20" x14ac:dyDescent="0.25">
      <c r="A155" s="1108" t="s">
        <v>1349</v>
      </c>
      <c r="B155" s="1109" t="s">
        <v>1350</v>
      </c>
      <c r="C155" s="1173">
        <v>0</v>
      </c>
      <c r="D155" s="1173">
        <v>5</v>
      </c>
      <c r="E155" s="1173">
        <v>5</v>
      </c>
      <c r="F155" s="1173">
        <v>10</v>
      </c>
      <c r="G155" s="1173">
        <v>25</v>
      </c>
      <c r="H155" s="1173">
        <v>70</v>
      </c>
      <c r="I155" s="1173">
        <v>175</v>
      </c>
      <c r="J155" s="1173">
        <v>385</v>
      </c>
      <c r="K155" s="1173">
        <v>460</v>
      </c>
      <c r="L155" s="1173">
        <v>325</v>
      </c>
      <c r="M155" s="1173">
        <v>45</v>
      </c>
      <c r="N155" s="1174">
        <v>1460</v>
      </c>
      <c r="O155" s="1177" t="s">
        <v>52</v>
      </c>
      <c r="P155" s="1177"/>
      <c r="Q155" s="1177"/>
      <c r="R155" s="1177"/>
      <c r="S155" s="1177"/>
      <c r="T155" s="1176" t="s">
        <v>1351</v>
      </c>
    </row>
    <row r="156" spans="1:20" x14ac:dyDescent="0.25">
      <c r="A156" s="1125" t="s">
        <v>1352</v>
      </c>
      <c r="B156" s="1126" t="s">
        <v>1353</v>
      </c>
      <c r="C156" s="1173">
        <v>0</v>
      </c>
      <c r="D156" s="1173">
        <v>6</v>
      </c>
      <c r="E156" s="1173">
        <v>8</v>
      </c>
      <c r="F156" s="1173">
        <v>1</v>
      </c>
      <c r="G156" s="1173">
        <v>0</v>
      </c>
      <c r="H156" s="1173">
        <v>0</v>
      </c>
      <c r="I156" s="1173">
        <v>0</v>
      </c>
      <c r="J156" s="1173">
        <v>0</v>
      </c>
      <c r="K156" s="1173">
        <v>0</v>
      </c>
      <c r="L156" s="1173">
        <v>0</v>
      </c>
      <c r="M156" s="1173">
        <v>15</v>
      </c>
      <c r="N156" s="1173">
        <v>15</v>
      </c>
      <c r="O156" s="1177" t="s">
        <v>52</v>
      </c>
      <c r="P156" s="1177"/>
      <c r="Q156" s="1177"/>
      <c r="R156" s="1177"/>
      <c r="S156" s="1177"/>
      <c r="T156" s="1176" t="s">
        <v>1354</v>
      </c>
    </row>
    <row r="157" spans="1:20" ht="24" customHeight="1" x14ac:dyDescent="0.25">
      <c r="A157" s="1108" t="s">
        <v>1355</v>
      </c>
      <c r="B157" s="1109" t="s">
        <v>1356</v>
      </c>
      <c r="C157" s="1173">
        <v>0</v>
      </c>
      <c r="D157" s="1173">
        <v>5</v>
      </c>
      <c r="E157" s="1173">
        <v>41</v>
      </c>
      <c r="F157" s="1173">
        <v>116</v>
      </c>
      <c r="G157" s="1173">
        <v>284</v>
      </c>
      <c r="H157" s="1173">
        <v>417</v>
      </c>
      <c r="I157" s="1173">
        <v>459</v>
      </c>
      <c r="J157" s="1173">
        <v>355</v>
      </c>
      <c r="K157" s="1173">
        <v>210</v>
      </c>
      <c r="L157" s="1173">
        <v>90</v>
      </c>
      <c r="M157" s="1173">
        <v>446</v>
      </c>
      <c r="N157" s="1174">
        <v>1977</v>
      </c>
      <c r="O157" s="1178" t="s">
        <v>52</v>
      </c>
      <c r="P157" s="1178"/>
      <c r="Q157" s="1178"/>
      <c r="R157" s="1178"/>
      <c r="S157" s="1178"/>
      <c r="T157" s="1179" t="s">
        <v>1357</v>
      </c>
    </row>
    <row r="158" spans="1:20" ht="24" customHeight="1" x14ac:dyDescent="0.25">
      <c r="A158" s="1108" t="s">
        <v>1358</v>
      </c>
      <c r="B158" s="1109" t="s">
        <v>1359</v>
      </c>
      <c r="C158" s="1173">
        <v>0</v>
      </c>
      <c r="D158" s="1173">
        <v>20</v>
      </c>
      <c r="E158" s="1173">
        <v>100</v>
      </c>
      <c r="F158" s="1173">
        <v>460</v>
      </c>
      <c r="G158" s="1174">
        <v>1070</v>
      </c>
      <c r="H158" s="1174">
        <v>1430</v>
      </c>
      <c r="I158" s="1174">
        <v>1110</v>
      </c>
      <c r="J158" s="1173">
        <v>660</v>
      </c>
      <c r="K158" s="1173">
        <v>300</v>
      </c>
      <c r="L158" s="1173">
        <v>100</v>
      </c>
      <c r="M158" s="1174">
        <v>1650</v>
      </c>
      <c r="N158" s="1174">
        <v>5250</v>
      </c>
      <c r="O158" s="1177" t="s">
        <v>52</v>
      </c>
      <c r="P158" s="1177"/>
      <c r="Q158" s="1177"/>
      <c r="R158" s="1177"/>
      <c r="S158" s="1177"/>
      <c r="T158" s="1176" t="s">
        <v>1360</v>
      </c>
    </row>
    <row r="159" spans="1:20" x14ac:dyDescent="0.25">
      <c r="A159" s="1108" t="s">
        <v>1361</v>
      </c>
      <c r="B159" s="1109" t="s">
        <v>1362</v>
      </c>
      <c r="C159" s="1191">
        <v>0</v>
      </c>
      <c r="D159" s="1191">
        <v>56</v>
      </c>
      <c r="E159" s="1191">
        <v>141</v>
      </c>
      <c r="F159" s="1191">
        <v>230</v>
      </c>
      <c r="G159" s="1191">
        <v>343</v>
      </c>
      <c r="H159" s="1191">
        <v>470</v>
      </c>
      <c r="I159" s="1191">
        <v>620</v>
      </c>
      <c r="J159" s="1191">
        <v>802</v>
      </c>
      <c r="K159" s="1191">
        <v>1024</v>
      </c>
      <c r="L159" s="1191">
        <v>1330</v>
      </c>
      <c r="M159" s="1191">
        <v>769</v>
      </c>
      <c r="N159" s="1191">
        <v>5015</v>
      </c>
      <c r="O159" s="1175" t="s">
        <v>52</v>
      </c>
      <c r="P159" s="1175"/>
      <c r="Q159" s="1175"/>
      <c r="R159" s="1175"/>
      <c r="S159" s="1175"/>
      <c r="T159" s="1113"/>
    </row>
    <row r="160" spans="1:20" x14ac:dyDescent="0.25">
      <c r="A160" s="1108" t="s">
        <v>1363</v>
      </c>
      <c r="B160" s="1109" t="s">
        <v>1364</v>
      </c>
      <c r="C160" s="1173"/>
      <c r="D160" s="1173"/>
      <c r="E160" s="1173"/>
      <c r="F160" s="1173"/>
      <c r="G160" s="1173"/>
      <c r="H160" s="1173"/>
      <c r="I160" s="1173"/>
      <c r="J160" s="1173"/>
      <c r="K160" s="1173"/>
      <c r="L160" s="1173"/>
      <c r="M160" s="1173"/>
      <c r="N160" s="1174"/>
      <c r="O160" s="1178"/>
      <c r="P160" s="1178"/>
      <c r="Q160" s="1178"/>
      <c r="R160" s="1178"/>
      <c r="S160" s="1178"/>
      <c r="T160" s="1113"/>
    </row>
    <row r="161" spans="1:21" x14ac:dyDescent="0.25">
      <c r="A161" s="1108" t="s">
        <v>1365</v>
      </c>
      <c r="B161" s="1109" t="s">
        <v>1366</v>
      </c>
      <c r="C161" s="1173"/>
      <c r="D161" s="1173"/>
      <c r="E161" s="1173"/>
      <c r="F161" s="1173"/>
      <c r="G161" s="1173"/>
      <c r="H161" s="1173"/>
      <c r="I161" s="1173"/>
      <c r="J161" s="1173"/>
      <c r="K161" s="1173"/>
      <c r="L161" s="1173"/>
      <c r="M161" s="1173"/>
      <c r="N161" s="1174"/>
      <c r="O161" s="1192"/>
      <c r="P161" s="1192"/>
      <c r="Q161" s="1192"/>
      <c r="R161" s="1192"/>
      <c r="S161" s="1192"/>
      <c r="T161" s="1193"/>
    </row>
    <row r="162" spans="1:21" x14ac:dyDescent="0.25">
      <c r="A162" s="1108" t="s">
        <v>1367</v>
      </c>
      <c r="B162" s="1109" t="s">
        <v>1368</v>
      </c>
      <c r="C162" s="1173">
        <v>0</v>
      </c>
      <c r="D162" s="1173">
        <v>20</v>
      </c>
      <c r="E162" s="1173">
        <v>70</v>
      </c>
      <c r="F162" s="1173">
        <v>130</v>
      </c>
      <c r="G162" s="1173">
        <v>155</v>
      </c>
      <c r="H162" s="1173">
        <v>155</v>
      </c>
      <c r="I162" s="1173">
        <v>155</v>
      </c>
      <c r="J162" s="1173">
        <v>135</v>
      </c>
      <c r="K162" s="1173">
        <v>80</v>
      </c>
      <c r="L162" s="1173">
        <v>20</v>
      </c>
      <c r="M162" s="1173">
        <v>375</v>
      </c>
      <c r="N162" s="1173">
        <v>920</v>
      </c>
      <c r="O162" s="1177" t="s">
        <v>52</v>
      </c>
      <c r="P162" s="1177"/>
      <c r="Q162" s="1177"/>
      <c r="R162" s="1177"/>
      <c r="S162" s="1177"/>
      <c r="T162" s="1113"/>
    </row>
    <row r="163" spans="1:21" x14ac:dyDescent="0.25">
      <c r="A163" s="1125" t="s">
        <v>1369</v>
      </c>
      <c r="B163" s="1126" t="s">
        <v>1370</v>
      </c>
      <c r="C163" s="1173">
        <v>0</v>
      </c>
      <c r="D163" s="1173">
        <v>15</v>
      </c>
      <c r="E163" s="1173">
        <v>12</v>
      </c>
      <c r="F163" s="1173">
        <v>8</v>
      </c>
      <c r="G163" s="1173">
        <v>4</v>
      </c>
      <c r="H163" s="1173">
        <v>0</v>
      </c>
      <c r="I163" s="1173">
        <v>0</v>
      </c>
      <c r="J163" s="1173">
        <v>0</v>
      </c>
      <c r="K163" s="1173">
        <v>0</v>
      </c>
      <c r="L163" s="1173">
        <v>0</v>
      </c>
      <c r="M163" s="1173">
        <v>39</v>
      </c>
      <c r="N163" s="1173">
        <v>39</v>
      </c>
      <c r="O163" s="1177" t="s">
        <v>52</v>
      </c>
      <c r="P163" s="1177"/>
      <c r="Q163" s="1177"/>
      <c r="R163" s="1177"/>
      <c r="S163" s="1177"/>
      <c r="T163" s="1113"/>
    </row>
    <row r="164" spans="1:21" x14ac:dyDescent="0.25">
      <c r="A164" s="1108" t="s">
        <v>1371</v>
      </c>
      <c r="B164" s="1109" t="s">
        <v>1372</v>
      </c>
      <c r="C164" s="1194">
        <v>0</v>
      </c>
      <c r="D164" s="1194">
        <v>25</v>
      </c>
      <c r="E164" s="1194">
        <v>100</v>
      </c>
      <c r="F164" s="1194">
        <v>125</v>
      </c>
      <c r="G164" s="1194">
        <v>100</v>
      </c>
      <c r="H164" s="1194">
        <v>75</v>
      </c>
      <c r="I164" s="1194">
        <v>30</v>
      </c>
      <c r="J164" s="1194">
        <v>20</v>
      </c>
      <c r="K164" s="1194">
        <v>0</v>
      </c>
      <c r="L164" s="1194">
        <v>0</v>
      </c>
      <c r="M164" s="1194">
        <v>350</v>
      </c>
      <c r="N164" s="1194">
        <v>475</v>
      </c>
      <c r="O164" s="1195" t="s">
        <v>52</v>
      </c>
      <c r="P164" s="1195"/>
      <c r="Q164" s="1195"/>
      <c r="R164" s="1195"/>
      <c r="S164" s="1195"/>
      <c r="T164" s="1113"/>
    </row>
    <row r="165" spans="1:21" x14ac:dyDescent="0.25">
      <c r="A165" s="55"/>
      <c r="B165" s="17"/>
      <c r="C165" s="37"/>
      <c r="D165" s="37"/>
      <c r="E165" s="37"/>
      <c r="F165" s="37"/>
      <c r="G165" s="37"/>
      <c r="H165" s="37"/>
      <c r="I165" s="37"/>
      <c r="J165" s="37"/>
      <c r="K165" s="37"/>
      <c r="L165" s="37"/>
      <c r="M165" s="37"/>
      <c r="N165" s="37"/>
      <c r="O165" s="55"/>
      <c r="P165" s="55"/>
      <c r="Q165" s="55"/>
      <c r="R165" s="55"/>
      <c r="S165" s="55"/>
      <c r="T165" s="17"/>
    </row>
    <row r="167" spans="1:21" x14ac:dyDescent="0.25">
      <c r="A167" s="56" t="s">
        <v>1380</v>
      </c>
    </row>
    <row r="168" spans="1:21" x14ac:dyDescent="0.25">
      <c r="A168" s="1196"/>
      <c r="B168" s="1196"/>
      <c r="C168" s="1180"/>
      <c r="D168" s="1180">
        <v>2022</v>
      </c>
      <c r="E168" s="1180">
        <v>2023</v>
      </c>
      <c r="F168" s="1180">
        <v>2024</v>
      </c>
      <c r="G168" s="1180">
        <v>2025</v>
      </c>
      <c r="H168" s="1180">
        <v>2026</v>
      </c>
      <c r="I168" s="1180">
        <v>2027</v>
      </c>
      <c r="J168" s="1180">
        <v>2028</v>
      </c>
      <c r="K168" s="1180">
        <v>2029</v>
      </c>
      <c r="L168" s="1180">
        <v>2030</v>
      </c>
      <c r="M168" s="1181">
        <v>2031</v>
      </c>
      <c r="N168" s="1182" t="s">
        <v>1373</v>
      </c>
      <c r="O168" s="1182" t="s">
        <v>1374</v>
      </c>
      <c r="P168" s="1167"/>
      <c r="Q168" s="1167"/>
      <c r="R168" s="1167"/>
      <c r="S168" s="1167"/>
      <c r="U168" s="62"/>
    </row>
    <row r="169" spans="1:21" x14ac:dyDescent="0.25">
      <c r="A169" s="1197" t="s">
        <v>1375</v>
      </c>
      <c r="B169" s="1197"/>
      <c r="C169" s="1203"/>
      <c r="D169" s="1203">
        <f t="shared" ref="D169:O169" si="9">D78/1000</f>
        <v>0</v>
      </c>
      <c r="E169" s="1203">
        <f t="shared" si="9"/>
        <v>6.8000000000000005E-2</v>
      </c>
      <c r="F169" s="1203">
        <f t="shared" si="9"/>
        <v>1.363</v>
      </c>
      <c r="G169" s="1203">
        <f t="shared" si="9"/>
        <v>2.4329999999999998</v>
      </c>
      <c r="H169" s="1203">
        <f t="shared" si="9"/>
        <v>2.8029999999999999</v>
      </c>
      <c r="I169" s="1203">
        <f t="shared" si="9"/>
        <v>1.7410000000000001</v>
      </c>
      <c r="J169" s="1203">
        <f t="shared" si="9"/>
        <v>0.56999999999999995</v>
      </c>
      <c r="K169" s="1203">
        <f t="shared" si="9"/>
        <v>3.5000000000000003E-2</v>
      </c>
      <c r="L169" s="1203">
        <f t="shared" si="9"/>
        <v>0</v>
      </c>
      <c r="M169" s="1203">
        <f t="shared" si="9"/>
        <v>0</v>
      </c>
      <c r="N169" s="1203">
        <f t="shared" si="9"/>
        <v>6.6669999999999998</v>
      </c>
      <c r="O169" s="1203">
        <f t="shared" si="9"/>
        <v>9.0129999999999999</v>
      </c>
      <c r="P169" s="1203"/>
      <c r="Q169" s="1203"/>
      <c r="R169" s="1203"/>
      <c r="S169" s="1203"/>
      <c r="U169" s="62"/>
    </row>
    <row r="170" spans="1:21" x14ac:dyDescent="0.25">
      <c r="A170" s="1197" t="s">
        <v>1376</v>
      </c>
      <c r="B170" s="1197"/>
      <c r="C170" s="1203"/>
      <c r="D170" s="1203">
        <f t="shared" ref="D170:O170" si="10">(D77+D70)/1000</f>
        <v>0</v>
      </c>
      <c r="E170" s="1203">
        <f t="shared" si="10"/>
        <v>0.81899999999999995</v>
      </c>
      <c r="F170" s="1203">
        <f t="shared" si="10"/>
        <v>2.4780000000000002</v>
      </c>
      <c r="G170" s="1203">
        <f t="shared" si="10"/>
        <v>4.0720000000000001</v>
      </c>
      <c r="H170" s="1203">
        <f t="shared" si="10"/>
        <v>5.4480000000000004</v>
      </c>
      <c r="I170" s="1203">
        <f t="shared" si="10"/>
        <v>4.8289999999999997</v>
      </c>
      <c r="J170" s="1203">
        <f t="shared" si="10"/>
        <v>3.2949999999999999</v>
      </c>
      <c r="K170" s="1203">
        <f t="shared" si="10"/>
        <v>1.98</v>
      </c>
      <c r="L170" s="1203">
        <f t="shared" si="10"/>
        <v>1.01</v>
      </c>
      <c r="M170" s="1203">
        <f t="shared" si="10"/>
        <v>0.40400000000000003</v>
      </c>
      <c r="N170" s="1203">
        <f t="shared" si="10"/>
        <v>12.817</v>
      </c>
      <c r="O170" s="1203">
        <f t="shared" si="10"/>
        <v>24.335000000000001</v>
      </c>
      <c r="P170" s="1203"/>
      <c r="Q170" s="1203"/>
      <c r="R170" s="1203"/>
      <c r="S170" s="1203"/>
      <c r="U170" s="62"/>
    </row>
    <row r="171" spans="1:21" x14ac:dyDescent="0.25">
      <c r="A171" s="1197" t="s">
        <v>1377</v>
      </c>
      <c r="B171" s="1197"/>
      <c r="C171" s="1203"/>
      <c r="D171" s="1203">
        <f t="shared" ref="D171:O171" si="11">(D69+D76)/1000</f>
        <v>0</v>
      </c>
      <c r="E171" s="1203">
        <f t="shared" si="11"/>
        <v>4.5430000000000001</v>
      </c>
      <c r="F171" s="1203">
        <f t="shared" si="11"/>
        <v>5.6079999999999997</v>
      </c>
      <c r="G171" s="1203">
        <f t="shared" si="11"/>
        <v>8.16</v>
      </c>
      <c r="H171" s="1203">
        <f t="shared" si="11"/>
        <v>10.069000000000001</v>
      </c>
      <c r="I171" s="1203">
        <f t="shared" si="11"/>
        <v>12.026999999999999</v>
      </c>
      <c r="J171" s="1203">
        <f t="shared" si="11"/>
        <v>13.826000000000001</v>
      </c>
      <c r="K171" s="1203">
        <f t="shared" si="11"/>
        <v>15.862</v>
      </c>
      <c r="L171" s="1203">
        <f t="shared" si="11"/>
        <v>17.890999999999998</v>
      </c>
      <c r="M171" s="1203">
        <f t="shared" si="11"/>
        <v>17.481000000000002</v>
      </c>
      <c r="N171" s="1203">
        <f t="shared" si="11"/>
        <v>28.38</v>
      </c>
      <c r="O171" s="1203">
        <f t="shared" si="11"/>
        <v>105.467</v>
      </c>
      <c r="P171" s="1203"/>
      <c r="Q171" s="1203"/>
      <c r="R171" s="1203"/>
      <c r="S171" s="1203"/>
      <c r="U171" s="62"/>
    </row>
    <row r="172" spans="1:21" x14ac:dyDescent="0.25">
      <c r="A172" s="1198" t="s">
        <v>52</v>
      </c>
      <c r="B172" s="1198"/>
      <c r="C172" s="1203"/>
      <c r="D172" s="1203">
        <f t="shared" ref="D172:O172" si="12">(D79+D74)/1000</f>
        <v>0</v>
      </c>
      <c r="E172" s="1203">
        <f t="shared" si="12"/>
        <v>1.2969999999999999</v>
      </c>
      <c r="F172" s="1203">
        <f t="shared" si="12"/>
        <v>3.8479999999999999</v>
      </c>
      <c r="G172" s="1203">
        <f t="shared" si="12"/>
        <v>6.4420000000000002</v>
      </c>
      <c r="H172" s="1203">
        <f t="shared" si="12"/>
        <v>9.532</v>
      </c>
      <c r="I172" s="1203">
        <f t="shared" si="12"/>
        <v>11.882</v>
      </c>
      <c r="J172" s="1203">
        <f t="shared" si="12"/>
        <v>11.727</v>
      </c>
      <c r="K172" s="1203">
        <f t="shared" si="12"/>
        <v>10.569000000000001</v>
      </c>
      <c r="L172" s="1203">
        <f t="shared" si="12"/>
        <v>8.8879999999999999</v>
      </c>
      <c r="M172" s="1203">
        <f t="shared" si="12"/>
        <v>7.1890000000000001</v>
      </c>
      <c r="N172" s="1203">
        <f t="shared" si="12"/>
        <v>21.117000000000001</v>
      </c>
      <c r="O172" s="1203">
        <f t="shared" si="12"/>
        <v>71.372</v>
      </c>
      <c r="P172" s="1203"/>
      <c r="Q172" s="1203"/>
      <c r="R172" s="1203"/>
      <c r="S172" s="1203"/>
      <c r="U172" s="62"/>
    </row>
    <row r="173" spans="1:21" x14ac:dyDescent="0.25">
      <c r="A173" s="1199" t="s">
        <v>531</v>
      </c>
      <c r="B173" s="1199"/>
      <c r="C173" s="1203"/>
      <c r="D173" s="1203"/>
      <c r="E173" s="1203"/>
      <c r="F173" s="1203"/>
      <c r="G173" s="1203"/>
      <c r="H173" s="1203"/>
      <c r="I173" s="1203"/>
      <c r="J173" s="1203"/>
      <c r="K173" s="1203"/>
      <c r="L173" s="1203"/>
      <c r="M173" s="1203"/>
      <c r="N173" s="1203"/>
      <c r="O173" s="1203"/>
      <c r="P173" s="1203"/>
      <c r="Q173" s="1203"/>
      <c r="R173" s="1203"/>
      <c r="S173" s="1203"/>
      <c r="U173" s="62"/>
    </row>
    <row r="174" spans="1:21" x14ac:dyDescent="0.25">
      <c r="A174" s="1200" t="s">
        <v>54</v>
      </c>
      <c r="B174" s="1200"/>
      <c r="C174" s="1203"/>
      <c r="D174" s="1203">
        <f t="shared" ref="D174:O174" si="13">D71/1000</f>
        <v>0</v>
      </c>
      <c r="E174" s="1203">
        <f t="shared" si="13"/>
        <v>0.11</v>
      </c>
      <c r="F174" s="1203">
        <f t="shared" si="13"/>
        <v>0.73899999999999999</v>
      </c>
      <c r="G174" s="1203">
        <f t="shared" si="13"/>
        <v>1.1950000000000001</v>
      </c>
      <c r="H174" s="1203">
        <f t="shared" si="13"/>
        <v>1.4970000000000001</v>
      </c>
      <c r="I174" s="1203">
        <f t="shared" si="13"/>
        <v>1.91</v>
      </c>
      <c r="J174" s="1203">
        <f t="shared" si="13"/>
        <v>2.4049999999999998</v>
      </c>
      <c r="K174" s="1203">
        <f t="shared" si="13"/>
        <v>2.9220000000000002</v>
      </c>
      <c r="L174" s="1203">
        <f t="shared" si="13"/>
        <v>3.4630000000000001</v>
      </c>
      <c r="M174" s="1203">
        <f t="shared" si="13"/>
        <v>4.0069999999999997</v>
      </c>
      <c r="N174" s="1203">
        <f t="shared" si="13"/>
        <v>3.5409999999999999</v>
      </c>
      <c r="O174" s="1203">
        <f t="shared" si="13"/>
        <v>18.248000000000001</v>
      </c>
      <c r="P174" s="1203"/>
      <c r="Q174" s="1203"/>
      <c r="R174" s="1203"/>
      <c r="S174" s="1203"/>
      <c r="U174" s="62"/>
    </row>
    <row r="175" spans="1:21" x14ac:dyDescent="0.25">
      <c r="A175" s="1200" t="s">
        <v>1378</v>
      </c>
      <c r="B175" s="1200"/>
      <c r="C175" s="1203"/>
      <c r="D175" s="1203">
        <f t="shared" ref="D175:O175" si="14">D72/1000</f>
        <v>0</v>
      </c>
      <c r="E175" s="1203">
        <f t="shared" si="14"/>
        <v>-0.41499999999999998</v>
      </c>
      <c r="F175" s="1203">
        <f t="shared" si="14"/>
        <v>2.7679999999999998</v>
      </c>
      <c r="G175" s="1203">
        <f t="shared" si="14"/>
        <v>-12.473000000000001</v>
      </c>
      <c r="H175" s="1203">
        <f t="shared" si="14"/>
        <v>-5.3739999999999997</v>
      </c>
      <c r="I175" s="1203">
        <f t="shared" si="14"/>
        <v>-25.515000000000001</v>
      </c>
      <c r="J175" s="1203">
        <f t="shared" si="14"/>
        <v>-43.975000000000001</v>
      </c>
      <c r="K175" s="1203">
        <f t="shared" si="14"/>
        <v>-46.426000000000002</v>
      </c>
      <c r="L175" s="1203">
        <f t="shared" si="14"/>
        <v>-56.228000000000002</v>
      </c>
      <c r="M175" s="1203">
        <f t="shared" si="14"/>
        <v>-60.581000000000003</v>
      </c>
      <c r="N175" s="1203">
        <f t="shared" si="14"/>
        <v>-15.494</v>
      </c>
      <c r="O175" s="1203">
        <f t="shared" si="14"/>
        <v>-248.21899999999999</v>
      </c>
      <c r="P175" s="1203"/>
      <c r="Q175" s="1203"/>
      <c r="R175" s="1203"/>
      <c r="S175" s="1203"/>
      <c r="U175" s="62"/>
    </row>
    <row r="176" spans="1:21" x14ac:dyDescent="0.25">
      <c r="A176" s="1201" t="s">
        <v>57</v>
      </c>
      <c r="B176" s="1201"/>
      <c r="C176" s="1203"/>
      <c r="D176" s="1203">
        <f t="shared" ref="D176:O176" si="15">(D80+D73)/1000</f>
        <v>-0.622</v>
      </c>
      <c r="E176" s="1203">
        <f t="shared" si="15"/>
        <v>21.89</v>
      </c>
      <c r="F176" s="1203">
        <f t="shared" si="15"/>
        <v>15.439</v>
      </c>
      <c r="G176" s="1203">
        <f t="shared" si="15"/>
        <v>16.966999999999999</v>
      </c>
      <c r="H176" s="1203">
        <f t="shared" si="15"/>
        <v>0.72799999999999998</v>
      </c>
      <c r="I176" s="1203">
        <f t="shared" si="15"/>
        <v>7.657</v>
      </c>
      <c r="J176" s="1203">
        <f t="shared" si="15"/>
        <v>4.5590000000000002</v>
      </c>
      <c r="K176" s="1203">
        <f t="shared" si="15"/>
        <v>2.4649999999999999</v>
      </c>
      <c r="L176" s="1203">
        <f t="shared" si="15"/>
        <v>1.444</v>
      </c>
      <c r="M176" s="1203">
        <f t="shared" si="15"/>
        <v>0.77300000000000002</v>
      </c>
      <c r="N176" s="1203">
        <f t="shared" si="15"/>
        <v>54.402000000000001</v>
      </c>
      <c r="O176" s="1203">
        <f t="shared" si="15"/>
        <v>71.3</v>
      </c>
      <c r="P176" s="1203"/>
      <c r="Q176" s="1203"/>
      <c r="R176" s="1203"/>
      <c r="S176" s="1203"/>
      <c r="U176" s="62"/>
    </row>
    <row r="177" spans="1:21" x14ac:dyDescent="0.25">
      <c r="A177" s="1202" t="s">
        <v>1434</v>
      </c>
      <c r="B177" s="1202"/>
      <c r="C177" s="1203"/>
      <c r="D177" s="1190">
        <f t="shared" ref="D177:O177" si="16">D84/1000</f>
        <v>0</v>
      </c>
      <c r="E177" s="1190">
        <f t="shared" si="16"/>
        <v>-3.1549999999999998</v>
      </c>
      <c r="F177" s="1190">
        <f t="shared" si="16"/>
        <v>-2.2309999999999999</v>
      </c>
      <c r="G177" s="1190">
        <f t="shared" si="16"/>
        <v>-1.6080000000000001</v>
      </c>
      <c r="H177" s="1190">
        <f t="shared" si="16"/>
        <v>-0.77</v>
      </c>
      <c r="I177" s="1190">
        <f t="shared" si="16"/>
        <v>-0.98299999999999998</v>
      </c>
      <c r="J177" s="1190">
        <f t="shared" si="16"/>
        <v>-1.2110000000000001</v>
      </c>
      <c r="K177" s="1190">
        <f t="shared" si="16"/>
        <v>-1.4710000000000001</v>
      </c>
      <c r="L177" s="1190">
        <f t="shared" si="16"/>
        <v>-1.81</v>
      </c>
      <c r="M177" s="1190">
        <f t="shared" si="16"/>
        <v>-2.3250000000000002</v>
      </c>
      <c r="N177" s="1190">
        <f t="shared" si="16"/>
        <v>-7.7670000000000003</v>
      </c>
      <c r="O177" s="1190">
        <f t="shared" si="16"/>
        <v>-15.566000000000001</v>
      </c>
      <c r="P177" s="1190"/>
      <c r="Q177" s="1190"/>
      <c r="R177" s="1190"/>
      <c r="S177" s="1190"/>
      <c r="U177" s="62"/>
    </row>
    <row r="178" spans="1:21" x14ac:dyDescent="0.25">
      <c r="A178" s="1202" t="s">
        <v>239</v>
      </c>
      <c r="B178" s="1202"/>
      <c r="C178" s="1203"/>
      <c r="D178" s="1190">
        <f t="shared" ref="D178:O178" si="17">D85/1000</f>
        <v>0</v>
      </c>
      <c r="E178" s="1190">
        <f t="shared" si="17"/>
        <v>0.45200000000000001</v>
      </c>
      <c r="F178" s="1190">
        <f t="shared" si="17"/>
        <v>-8.67</v>
      </c>
      <c r="G178" s="1190">
        <f t="shared" si="17"/>
        <v>-4.5270000000000001</v>
      </c>
      <c r="H178" s="1190">
        <f t="shared" si="17"/>
        <v>-0.70499999999999996</v>
      </c>
      <c r="I178" s="1190">
        <f t="shared" si="17"/>
        <v>15.813000000000001</v>
      </c>
      <c r="J178" s="1190">
        <f t="shared" si="17"/>
        <v>20.372</v>
      </c>
      <c r="K178" s="1190">
        <f t="shared" si="17"/>
        <v>24.847000000000001</v>
      </c>
      <c r="L178" s="1190">
        <f t="shared" si="17"/>
        <v>28.113</v>
      </c>
      <c r="M178" s="1190">
        <f t="shared" si="17"/>
        <v>24.777000000000001</v>
      </c>
      <c r="N178" s="1190">
        <f t="shared" si="17"/>
        <v>-13.451000000000001</v>
      </c>
      <c r="O178" s="1190">
        <f t="shared" si="17"/>
        <v>100.468</v>
      </c>
      <c r="P178" s="1190"/>
      <c r="Q178" s="1190"/>
      <c r="R178" s="1190"/>
      <c r="S178" s="1190"/>
      <c r="U178" s="62"/>
    </row>
    <row r="179" spans="1:21" x14ac:dyDescent="0.25">
      <c r="A179" s="1202" t="s">
        <v>106</v>
      </c>
      <c r="B179" s="1202"/>
      <c r="C179" s="1203"/>
      <c r="D179" s="1190">
        <f t="shared" ref="D179:O179" si="18">D83/1000</f>
        <v>0</v>
      </c>
      <c r="E179" s="1190">
        <f t="shared" si="18"/>
        <v>35.317</v>
      </c>
      <c r="F179" s="1190">
        <f t="shared" si="18"/>
        <v>36.033000000000001</v>
      </c>
      <c r="G179" s="1190">
        <f t="shared" si="18"/>
        <v>21.076000000000001</v>
      </c>
      <c r="H179" s="1190">
        <f t="shared" si="18"/>
        <v>13.346</v>
      </c>
      <c r="I179" s="1190">
        <f t="shared" si="18"/>
        <v>27.507999999999999</v>
      </c>
      <c r="J179" s="1190">
        <f t="shared" si="18"/>
        <v>35.85</v>
      </c>
      <c r="K179" s="1190">
        <f t="shared" si="18"/>
        <v>18.64</v>
      </c>
      <c r="L179" s="1190">
        <f t="shared" si="18"/>
        <v>8.3940000000000001</v>
      </c>
      <c r="M179" s="1190">
        <f t="shared" si="18"/>
        <v>7.9820000000000002</v>
      </c>
      <c r="N179" s="1190">
        <f t="shared" si="18"/>
        <v>105.76900000000001</v>
      </c>
      <c r="O179" s="1190">
        <f t="shared" si="18"/>
        <v>204.14400000000001</v>
      </c>
      <c r="P179" s="1190"/>
      <c r="Q179" s="1190"/>
      <c r="R179" s="1190"/>
      <c r="S179" s="1190"/>
      <c r="U179" s="62"/>
    </row>
    <row r="182" spans="1:21" x14ac:dyDescent="0.25">
      <c r="A182" s="56" t="s">
        <v>1379</v>
      </c>
    </row>
    <row r="183" spans="1:21" x14ac:dyDescent="0.25">
      <c r="A183" s="1196"/>
      <c r="B183" s="1196"/>
      <c r="C183" s="1196"/>
      <c r="D183" s="1196" t="s">
        <v>183</v>
      </c>
      <c r="E183" s="1196" t="s">
        <v>184</v>
      </c>
      <c r="F183" s="1196" t="s">
        <v>185</v>
      </c>
      <c r="G183" s="1196" t="s">
        <v>186</v>
      </c>
      <c r="H183" s="1196" t="s">
        <v>187</v>
      </c>
      <c r="I183" s="1196" t="s">
        <v>188</v>
      </c>
      <c r="J183" s="1196" t="s">
        <v>189</v>
      </c>
      <c r="K183" s="1196" t="s">
        <v>190</v>
      </c>
      <c r="L183" s="1196" t="s">
        <v>191</v>
      </c>
      <c r="M183" s="1196" t="s">
        <v>175</v>
      </c>
      <c r="N183" s="1196" t="s">
        <v>176</v>
      </c>
      <c r="O183" s="1196" t="s">
        <v>177</v>
      </c>
      <c r="P183" s="1196" t="s">
        <v>768</v>
      </c>
      <c r="Q183" s="1196" t="s">
        <v>769</v>
      </c>
      <c r="R183" s="1196" t="s">
        <v>770</v>
      </c>
      <c r="S183" s="1196" t="s">
        <v>1162</v>
      </c>
      <c r="U183" s="62"/>
    </row>
    <row r="184" spans="1:21" x14ac:dyDescent="0.25">
      <c r="A184" s="1197" t="s">
        <v>1375</v>
      </c>
      <c r="B184" s="1197"/>
      <c r="C184" s="1204"/>
      <c r="D184" s="1204">
        <f t="shared" ref="D184:D191" si="19">D169</f>
        <v>0</v>
      </c>
      <c r="E184" s="1204">
        <f>D184</f>
        <v>0</v>
      </c>
      <c r="F184" s="1204">
        <f t="shared" ref="F184:F191" si="20">E169</f>
        <v>6.8000000000000005E-2</v>
      </c>
      <c r="G184" s="1204">
        <f>F184</f>
        <v>6.8000000000000005E-2</v>
      </c>
      <c r="H184" s="1204">
        <f>G184</f>
        <v>6.8000000000000005E-2</v>
      </c>
      <c r="I184" s="1204">
        <f>H184</f>
        <v>6.8000000000000005E-2</v>
      </c>
      <c r="J184" s="1204">
        <f t="shared" ref="J184:J191" si="21">F169</f>
        <v>1.363</v>
      </c>
      <c r="K184" s="1204">
        <f t="shared" ref="K184:M191" si="22">J184</f>
        <v>1.363</v>
      </c>
      <c r="L184" s="1204">
        <f t="shared" si="22"/>
        <v>1.363</v>
      </c>
      <c r="M184" s="1204">
        <f>L184</f>
        <v>1.363</v>
      </c>
      <c r="N184" s="1204">
        <f>G169</f>
        <v>2.4329999999999998</v>
      </c>
      <c r="O184" s="1204">
        <f>N184</f>
        <v>2.4329999999999998</v>
      </c>
      <c r="P184" s="1204">
        <f t="shared" ref="P184:Q184" si="23">O184</f>
        <v>2.4329999999999998</v>
      </c>
      <c r="Q184" s="1204">
        <f t="shared" si="23"/>
        <v>2.4329999999999998</v>
      </c>
      <c r="R184" s="1204">
        <f>H169</f>
        <v>2.8029999999999999</v>
      </c>
      <c r="S184" s="1204">
        <f>R184</f>
        <v>2.8029999999999999</v>
      </c>
      <c r="U184" s="62"/>
    </row>
    <row r="185" spans="1:21" x14ac:dyDescent="0.25">
      <c r="A185" s="1197" t="s">
        <v>1376</v>
      </c>
      <c r="B185" s="1197"/>
      <c r="C185" s="1204"/>
      <c r="D185" s="1204">
        <f t="shared" si="19"/>
        <v>0</v>
      </c>
      <c r="E185" s="1204">
        <f t="shared" ref="E185:E191" si="24">D185</f>
        <v>0</v>
      </c>
      <c r="F185" s="1204">
        <f t="shared" si="20"/>
        <v>0.81899999999999995</v>
      </c>
      <c r="G185" s="1204">
        <f t="shared" ref="G185:I191" si="25">F185</f>
        <v>0.81899999999999995</v>
      </c>
      <c r="H185" s="1204">
        <f t="shared" si="25"/>
        <v>0.81899999999999995</v>
      </c>
      <c r="I185" s="1204">
        <f t="shared" si="25"/>
        <v>0.81899999999999995</v>
      </c>
      <c r="J185" s="1204">
        <f>F170</f>
        <v>2.4780000000000002</v>
      </c>
      <c r="K185" s="1204">
        <f t="shared" si="22"/>
        <v>2.4780000000000002</v>
      </c>
      <c r="L185" s="1204">
        <f t="shared" si="22"/>
        <v>2.4780000000000002</v>
      </c>
      <c r="M185" s="1204">
        <f>L185</f>
        <v>2.4780000000000002</v>
      </c>
      <c r="N185" s="1204">
        <f>G170</f>
        <v>4.0720000000000001</v>
      </c>
      <c r="O185" s="1204">
        <f>N185</f>
        <v>4.0720000000000001</v>
      </c>
      <c r="P185" s="1204">
        <f t="shared" ref="P185:Q194" si="26">O185</f>
        <v>4.0720000000000001</v>
      </c>
      <c r="Q185" s="1204">
        <f t="shared" si="26"/>
        <v>4.0720000000000001</v>
      </c>
      <c r="R185" s="1204">
        <f>H170</f>
        <v>5.4480000000000004</v>
      </c>
      <c r="S185" s="1204">
        <f t="shared" ref="S185:S194" si="27">R185</f>
        <v>5.4480000000000004</v>
      </c>
      <c r="U185" s="62"/>
    </row>
    <row r="186" spans="1:21" x14ac:dyDescent="0.25">
      <c r="A186" s="1197" t="s">
        <v>1377</v>
      </c>
      <c r="B186" s="1197"/>
      <c r="C186" s="1204"/>
      <c r="D186" s="1204">
        <f t="shared" si="19"/>
        <v>0</v>
      </c>
      <c r="E186" s="1204">
        <f t="shared" si="24"/>
        <v>0</v>
      </c>
      <c r="F186" s="1204">
        <f t="shared" si="20"/>
        <v>4.5430000000000001</v>
      </c>
      <c r="G186" s="1204">
        <f t="shared" si="25"/>
        <v>4.5430000000000001</v>
      </c>
      <c r="H186" s="1204">
        <f t="shared" si="25"/>
        <v>4.5430000000000001</v>
      </c>
      <c r="I186" s="1204">
        <f t="shared" si="25"/>
        <v>4.5430000000000001</v>
      </c>
      <c r="J186" s="1204">
        <f t="shared" si="21"/>
        <v>5.6079999999999997</v>
      </c>
      <c r="K186" s="1204">
        <f t="shared" si="22"/>
        <v>5.6079999999999997</v>
      </c>
      <c r="L186" s="1204">
        <f t="shared" si="22"/>
        <v>5.6079999999999997</v>
      </c>
      <c r="M186" s="1204">
        <f t="shared" si="22"/>
        <v>5.6079999999999997</v>
      </c>
      <c r="N186" s="1204">
        <f>G171</f>
        <v>8.16</v>
      </c>
      <c r="O186" s="1204">
        <f t="shared" ref="O186:O191" si="28">N186</f>
        <v>8.16</v>
      </c>
      <c r="P186" s="1204">
        <f t="shared" si="26"/>
        <v>8.16</v>
      </c>
      <c r="Q186" s="1204">
        <f t="shared" si="26"/>
        <v>8.16</v>
      </c>
      <c r="R186" s="1204">
        <f t="shared" ref="R186:R194" si="29">H171</f>
        <v>10.069000000000001</v>
      </c>
      <c r="S186" s="1204">
        <f t="shared" si="27"/>
        <v>10.069000000000001</v>
      </c>
      <c r="U186" s="62"/>
    </row>
    <row r="187" spans="1:21" x14ac:dyDescent="0.25">
      <c r="A187" s="1198" t="s">
        <v>52</v>
      </c>
      <c r="B187" s="1198"/>
      <c r="C187" s="1204"/>
      <c r="D187" s="1204">
        <f t="shared" si="19"/>
        <v>0</v>
      </c>
      <c r="E187" s="1204">
        <f t="shared" si="24"/>
        <v>0</v>
      </c>
      <c r="F187" s="1204">
        <f t="shared" si="20"/>
        <v>1.2969999999999999</v>
      </c>
      <c r="G187" s="1204">
        <f t="shared" si="25"/>
        <v>1.2969999999999999</v>
      </c>
      <c r="H187" s="1204">
        <f t="shared" si="25"/>
        <v>1.2969999999999999</v>
      </c>
      <c r="I187" s="1204">
        <f t="shared" si="25"/>
        <v>1.2969999999999999</v>
      </c>
      <c r="J187" s="1204">
        <f t="shared" si="21"/>
        <v>3.8479999999999999</v>
      </c>
      <c r="K187" s="1204">
        <f t="shared" si="22"/>
        <v>3.8479999999999999</v>
      </c>
      <c r="L187" s="1204">
        <f t="shared" si="22"/>
        <v>3.8479999999999999</v>
      </c>
      <c r="M187" s="1204">
        <f t="shared" si="22"/>
        <v>3.8479999999999999</v>
      </c>
      <c r="N187" s="1204">
        <f t="shared" ref="N187:N191" si="30">G172</f>
        <v>6.4420000000000002</v>
      </c>
      <c r="O187" s="1204">
        <f t="shared" si="28"/>
        <v>6.4420000000000002</v>
      </c>
      <c r="P187" s="1204">
        <f t="shared" si="26"/>
        <v>6.4420000000000002</v>
      </c>
      <c r="Q187" s="1204">
        <f t="shared" si="26"/>
        <v>6.4420000000000002</v>
      </c>
      <c r="R187" s="1204">
        <f t="shared" si="29"/>
        <v>9.532</v>
      </c>
      <c r="S187" s="1204">
        <f t="shared" si="27"/>
        <v>9.532</v>
      </c>
      <c r="U187" s="62"/>
    </row>
    <row r="188" spans="1:21" x14ac:dyDescent="0.25">
      <c r="A188" s="1199" t="s">
        <v>531</v>
      </c>
      <c r="B188" s="1199"/>
      <c r="C188" s="1204"/>
      <c r="D188" s="1204">
        <f t="shared" si="19"/>
        <v>0</v>
      </c>
      <c r="E188" s="1204">
        <f t="shared" si="24"/>
        <v>0</v>
      </c>
      <c r="F188" s="1204">
        <f t="shared" si="20"/>
        <v>0</v>
      </c>
      <c r="G188" s="1204">
        <f t="shared" si="25"/>
        <v>0</v>
      </c>
      <c r="H188" s="1204">
        <f t="shared" si="25"/>
        <v>0</v>
      </c>
      <c r="I188" s="1204">
        <f t="shared" si="25"/>
        <v>0</v>
      </c>
      <c r="J188" s="1204">
        <f t="shared" si="21"/>
        <v>0</v>
      </c>
      <c r="K188" s="1204">
        <f t="shared" si="22"/>
        <v>0</v>
      </c>
      <c r="L188" s="1204">
        <f t="shared" si="22"/>
        <v>0</v>
      </c>
      <c r="M188" s="1204">
        <f t="shared" si="22"/>
        <v>0</v>
      </c>
      <c r="N188" s="1204">
        <f t="shared" si="30"/>
        <v>0</v>
      </c>
      <c r="O188" s="1204">
        <f t="shared" si="28"/>
        <v>0</v>
      </c>
      <c r="P188" s="1204">
        <f t="shared" si="26"/>
        <v>0</v>
      </c>
      <c r="Q188" s="1204">
        <f t="shared" si="26"/>
        <v>0</v>
      </c>
      <c r="R188" s="1204">
        <f t="shared" si="29"/>
        <v>0</v>
      </c>
      <c r="S188" s="1204">
        <f t="shared" si="27"/>
        <v>0</v>
      </c>
      <c r="U188" s="62"/>
    </row>
    <row r="189" spans="1:21" x14ac:dyDescent="0.25">
      <c r="A189" s="1200" t="s">
        <v>54</v>
      </c>
      <c r="B189" s="1200"/>
      <c r="C189" s="1204"/>
      <c r="D189" s="1204">
        <f t="shared" si="19"/>
        <v>0</v>
      </c>
      <c r="E189" s="1204">
        <f t="shared" si="24"/>
        <v>0</v>
      </c>
      <c r="F189" s="1204">
        <f t="shared" si="20"/>
        <v>0.11</v>
      </c>
      <c r="G189" s="1204">
        <f t="shared" si="25"/>
        <v>0.11</v>
      </c>
      <c r="H189" s="1204">
        <f t="shared" si="25"/>
        <v>0.11</v>
      </c>
      <c r="I189" s="1204">
        <f t="shared" si="25"/>
        <v>0.11</v>
      </c>
      <c r="J189" s="1204">
        <f t="shared" si="21"/>
        <v>0.73899999999999999</v>
      </c>
      <c r="K189" s="1204">
        <f t="shared" si="22"/>
        <v>0.73899999999999999</v>
      </c>
      <c r="L189" s="1204">
        <f t="shared" si="22"/>
        <v>0.73899999999999999</v>
      </c>
      <c r="M189" s="1204">
        <f t="shared" si="22"/>
        <v>0.73899999999999999</v>
      </c>
      <c r="N189" s="1204">
        <f t="shared" si="30"/>
        <v>1.1950000000000001</v>
      </c>
      <c r="O189" s="1204">
        <f t="shared" si="28"/>
        <v>1.1950000000000001</v>
      </c>
      <c r="P189" s="1204">
        <f t="shared" si="26"/>
        <v>1.1950000000000001</v>
      </c>
      <c r="Q189" s="1204">
        <f t="shared" si="26"/>
        <v>1.1950000000000001</v>
      </c>
      <c r="R189" s="1204">
        <f t="shared" si="29"/>
        <v>1.4970000000000001</v>
      </c>
      <c r="S189" s="1204">
        <f t="shared" si="27"/>
        <v>1.4970000000000001</v>
      </c>
      <c r="U189" s="62"/>
    </row>
    <row r="190" spans="1:21" x14ac:dyDescent="0.25">
      <c r="A190" s="1200" t="s">
        <v>1378</v>
      </c>
      <c r="B190" s="1200"/>
      <c r="C190" s="1204"/>
      <c r="D190" s="1204">
        <f t="shared" si="19"/>
        <v>0</v>
      </c>
      <c r="E190" s="1204">
        <f t="shared" si="24"/>
        <v>0</v>
      </c>
      <c r="F190" s="1204">
        <f t="shared" si="20"/>
        <v>-0.41499999999999998</v>
      </c>
      <c r="G190" s="1204">
        <f t="shared" si="25"/>
        <v>-0.41499999999999998</v>
      </c>
      <c r="H190" s="1204">
        <f t="shared" si="25"/>
        <v>-0.41499999999999998</v>
      </c>
      <c r="I190" s="1204">
        <f t="shared" si="25"/>
        <v>-0.41499999999999998</v>
      </c>
      <c r="J190" s="1204">
        <f t="shared" si="21"/>
        <v>2.7679999999999998</v>
      </c>
      <c r="K190" s="1204">
        <f t="shared" si="22"/>
        <v>2.7679999999999998</v>
      </c>
      <c r="L190" s="1204">
        <f t="shared" si="22"/>
        <v>2.7679999999999998</v>
      </c>
      <c r="M190" s="1204">
        <f t="shared" si="22"/>
        <v>2.7679999999999998</v>
      </c>
      <c r="N190" s="1204">
        <f t="shared" si="30"/>
        <v>-12.473000000000001</v>
      </c>
      <c r="O190" s="1204">
        <f t="shared" si="28"/>
        <v>-12.473000000000001</v>
      </c>
      <c r="P190" s="1204">
        <f t="shared" si="26"/>
        <v>-12.473000000000001</v>
      </c>
      <c r="Q190" s="1204">
        <f t="shared" si="26"/>
        <v>-12.473000000000001</v>
      </c>
      <c r="R190" s="1204">
        <f t="shared" si="29"/>
        <v>-5.3739999999999997</v>
      </c>
      <c r="S190" s="1204">
        <f t="shared" si="27"/>
        <v>-5.3739999999999997</v>
      </c>
      <c r="U190" s="62"/>
    </row>
    <row r="191" spans="1:21" x14ac:dyDescent="0.25">
      <c r="A191" s="1201" t="s">
        <v>57</v>
      </c>
      <c r="B191" s="1201"/>
      <c r="C191" s="1204"/>
      <c r="D191" s="1204">
        <f t="shared" si="19"/>
        <v>-0.622</v>
      </c>
      <c r="E191" s="1204">
        <f t="shared" si="24"/>
        <v>-0.622</v>
      </c>
      <c r="F191" s="1204">
        <f t="shared" si="20"/>
        <v>21.89</v>
      </c>
      <c r="G191" s="1204">
        <f t="shared" si="25"/>
        <v>21.89</v>
      </c>
      <c r="H191" s="1204">
        <f t="shared" si="25"/>
        <v>21.89</v>
      </c>
      <c r="I191" s="1204">
        <f t="shared" si="25"/>
        <v>21.89</v>
      </c>
      <c r="J191" s="1204">
        <f t="shared" si="21"/>
        <v>15.439</v>
      </c>
      <c r="K191" s="1204">
        <f t="shared" si="22"/>
        <v>15.439</v>
      </c>
      <c r="L191" s="1204">
        <f t="shared" si="22"/>
        <v>15.439</v>
      </c>
      <c r="M191" s="1204">
        <f t="shared" si="22"/>
        <v>15.439</v>
      </c>
      <c r="N191" s="1204">
        <f t="shared" si="30"/>
        <v>16.966999999999999</v>
      </c>
      <c r="O191" s="1204">
        <f t="shared" si="28"/>
        <v>16.966999999999999</v>
      </c>
      <c r="P191" s="1204">
        <f t="shared" si="26"/>
        <v>16.966999999999999</v>
      </c>
      <c r="Q191" s="1204">
        <f t="shared" si="26"/>
        <v>16.966999999999999</v>
      </c>
      <c r="R191" s="1204">
        <f t="shared" si="29"/>
        <v>0.72799999999999998</v>
      </c>
      <c r="S191" s="1204">
        <f t="shared" si="27"/>
        <v>0.72799999999999998</v>
      </c>
      <c r="U191" s="62"/>
    </row>
    <row r="192" spans="1:21" x14ac:dyDescent="0.25">
      <c r="A192" s="1202" t="s">
        <v>486</v>
      </c>
      <c r="B192" s="1202"/>
      <c r="C192" s="1204"/>
      <c r="D192" s="1190">
        <f t="shared" ref="D192:D194" si="31">D177</f>
        <v>0</v>
      </c>
      <c r="E192" s="1190">
        <f t="shared" ref="E192:E194" si="32">D192</f>
        <v>0</v>
      </c>
      <c r="F192" s="1190">
        <f t="shared" ref="F192:F194" si="33">E177</f>
        <v>-3.1549999999999998</v>
      </c>
      <c r="G192" s="1190">
        <f t="shared" ref="G192:G194" si="34">F192</f>
        <v>-3.1549999999999998</v>
      </c>
      <c r="H192" s="1190">
        <f t="shared" ref="H192:H194" si="35">G192</f>
        <v>-3.1549999999999998</v>
      </c>
      <c r="I192" s="1190">
        <f t="shared" ref="I192:I194" si="36">H192</f>
        <v>-3.1549999999999998</v>
      </c>
      <c r="J192" s="1190">
        <f t="shared" ref="J192:J194" si="37">F177</f>
        <v>-2.2309999999999999</v>
      </c>
      <c r="K192" s="1190">
        <f t="shared" ref="K192:K194" si="38">J192</f>
        <v>-2.2309999999999999</v>
      </c>
      <c r="L192" s="1190">
        <f t="shared" ref="L192:L194" si="39">K192</f>
        <v>-2.2309999999999999</v>
      </c>
      <c r="M192" s="1190">
        <f t="shared" ref="M192:M194" si="40">L192</f>
        <v>-2.2309999999999999</v>
      </c>
      <c r="N192" s="1190">
        <f t="shared" ref="N192:N194" si="41">G177</f>
        <v>-1.6080000000000001</v>
      </c>
      <c r="O192" s="1190">
        <f t="shared" ref="O192:O194" si="42">N192</f>
        <v>-1.6080000000000001</v>
      </c>
      <c r="P192" s="1190">
        <f t="shared" si="26"/>
        <v>-1.6080000000000001</v>
      </c>
      <c r="Q192" s="1190">
        <f t="shared" si="26"/>
        <v>-1.6080000000000001</v>
      </c>
      <c r="R192" s="1204">
        <f t="shared" si="29"/>
        <v>-0.77</v>
      </c>
      <c r="S192" s="1204">
        <f t="shared" si="27"/>
        <v>-0.77</v>
      </c>
      <c r="U192" s="62"/>
    </row>
    <row r="193" spans="1:21" x14ac:dyDescent="0.25">
      <c r="A193" s="1202" t="s">
        <v>484</v>
      </c>
      <c r="B193" s="1202"/>
      <c r="C193" s="1204"/>
      <c r="D193" s="1190">
        <f t="shared" si="31"/>
        <v>0</v>
      </c>
      <c r="E193" s="1190">
        <f t="shared" si="32"/>
        <v>0</v>
      </c>
      <c r="F193" s="1190">
        <f t="shared" si="33"/>
        <v>0.45200000000000001</v>
      </c>
      <c r="G193" s="1190">
        <f t="shared" si="34"/>
        <v>0.45200000000000001</v>
      </c>
      <c r="H193" s="1190">
        <f t="shared" si="35"/>
        <v>0.45200000000000001</v>
      </c>
      <c r="I193" s="1190">
        <f t="shared" si="36"/>
        <v>0.45200000000000001</v>
      </c>
      <c r="J193" s="1190">
        <f t="shared" si="37"/>
        <v>-8.67</v>
      </c>
      <c r="K193" s="1190">
        <f t="shared" si="38"/>
        <v>-8.67</v>
      </c>
      <c r="L193" s="1190">
        <f t="shared" si="39"/>
        <v>-8.67</v>
      </c>
      <c r="M193" s="1190">
        <f t="shared" si="40"/>
        <v>-8.67</v>
      </c>
      <c r="N193" s="1190">
        <f t="shared" si="41"/>
        <v>-4.5270000000000001</v>
      </c>
      <c r="O193" s="1190">
        <f t="shared" si="42"/>
        <v>-4.5270000000000001</v>
      </c>
      <c r="P193" s="1190">
        <f t="shared" si="26"/>
        <v>-4.5270000000000001</v>
      </c>
      <c r="Q193" s="1190">
        <f t="shared" si="26"/>
        <v>-4.5270000000000001</v>
      </c>
      <c r="R193" s="1204">
        <f t="shared" si="29"/>
        <v>-0.70499999999999996</v>
      </c>
      <c r="S193" s="1204">
        <f t="shared" si="27"/>
        <v>-0.70499999999999996</v>
      </c>
      <c r="U193" s="62"/>
    </row>
    <row r="194" spans="1:21" x14ac:dyDescent="0.25">
      <c r="A194" s="1202" t="s">
        <v>106</v>
      </c>
      <c r="B194" s="1202"/>
      <c r="C194" s="1204"/>
      <c r="D194" s="1190">
        <f t="shared" si="31"/>
        <v>0</v>
      </c>
      <c r="E194" s="1190">
        <f t="shared" si="32"/>
        <v>0</v>
      </c>
      <c r="F194" s="1190">
        <f t="shared" si="33"/>
        <v>35.317</v>
      </c>
      <c r="G194" s="1190">
        <f t="shared" si="34"/>
        <v>35.317</v>
      </c>
      <c r="H194" s="1190">
        <f t="shared" si="35"/>
        <v>35.317</v>
      </c>
      <c r="I194" s="1190">
        <f t="shared" si="36"/>
        <v>35.317</v>
      </c>
      <c r="J194" s="1190">
        <f t="shared" si="37"/>
        <v>36.033000000000001</v>
      </c>
      <c r="K194" s="1190">
        <f t="shared" si="38"/>
        <v>36.033000000000001</v>
      </c>
      <c r="L194" s="1190">
        <f t="shared" si="39"/>
        <v>36.033000000000001</v>
      </c>
      <c r="M194" s="1190">
        <f t="shared" si="40"/>
        <v>36.033000000000001</v>
      </c>
      <c r="N194" s="1190">
        <f t="shared" si="41"/>
        <v>21.076000000000001</v>
      </c>
      <c r="O194" s="1190">
        <f t="shared" si="42"/>
        <v>21.076000000000001</v>
      </c>
      <c r="P194" s="1190">
        <f t="shared" si="26"/>
        <v>21.076000000000001</v>
      </c>
      <c r="Q194" s="1190">
        <f t="shared" si="26"/>
        <v>21.076000000000001</v>
      </c>
      <c r="R194" s="1204">
        <f t="shared" si="29"/>
        <v>13.346</v>
      </c>
      <c r="S194" s="1204">
        <f t="shared" si="27"/>
        <v>13.346</v>
      </c>
      <c r="U194" s="62"/>
    </row>
    <row r="197" spans="1:21" x14ac:dyDescent="0.25">
      <c r="A197" s="56" t="s">
        <v>1381</v>
      </c>
    </row>
    <row r="198" spans="1:21" x14ac:dyDescent="0.25">
      <c r="A198" s="1198" t="s">
        <v>52</v>
      </c>
      <c r="D198" s="1205">
        <v>0</v>
      </c>
      <c r="E198" s="1205">
        <v>0</v>
      </c>
      <c r="F198" s="1205">
        <v>2.3250000000000002</v>
      </c>
      <c r="G198" s="1205">
        <v>2.3250000000000002</v>
      </c>
      <c r="H198" s="1205">
        <v>2.3250000000000002</v>
      </c>
      <c r="I198" s="1205">
        <v>2.3250000000000002</v>
      </c>
      <c r="J198" s="1205">
        <v>5.5830000000000002</v>
      </c>
      <c r="K198" s="1205">
        <v>5.5830000000000002</v>
      </c>
      <c r="L198" s="1205">
        <v>5.5830000000000002</v>
      </c>
      <c r="M198" s="1205">
        <v>5.5830000000000002</v>
      </c>
      <c r="N198" s="1205">
        <v>8.0220000000000002</v>
      </c>
      <c r="O198" s="1205">
        <v>8.0220000000000002</v>
      </c>
      <c r="P198" s="1205"/>
      <c r="Q198" s="1205"/>
      <c r="R198" s="1205"/>
      <c r="S198" s="1205"/>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49" workbookViewId="0">
      <selection activeCell="E6" sqref="E6"/>
    </sheetView>
  </sheetViews>
  <sheetFormatPr defaultColWidth="10.85546875" defaultRowHeight="15" x14ac:dyDescent="0.25"/>
  <cols>
    <col min="1" max="1" width="77.85546875" customWidth="1"/>
    <col min="2" max="2" width="21" customWidth="1"/>
    <col min="5" max="5" width="37.42578125" customWidth="1"/>
    <col min="6" max="6" width="16" customWidth="1"/>
  </cols>
  <sheetData>
    <row r="1" spans="1:6" x14ac:dyDescent="0.25">
      <c r="A1" s="222" t="s">
        <v>557</v>
      </c>
    </row>
    <row r="2" spans="1:6" ht="20.85" customHeight="1" x14ac:dyDescent="0.3">
      <c r="A2" s="1210" t="s">
        <v>558</v>
      </c>
      <c r="B2" s="1210" t="s">
        <v>559</v>
      </c>
      <c r="C2" s="1210" t="s">
        <v>560</v>
      </c>
      <c r="D2" s="1210" t="s">
        <v>561</v>
      </c>
    </row>
    <row r="3" spans="1:6" x14ac:dyDescent="0.25">
      <c r="A3" s="1211" t="s">
        <v>562</v>
      </c>
      <c r="B3" s="682">
        <f>SUM(B4:B7)</f>
        <v>325</v>
      </c>
      <c r="E3" s="1515" t="s">
        <v>563</v>
      </c>
      <c r="F3" s="1515"/>
    </row>
    <row r="4" spans="1:6" x14ac:dyDescent="0.25">
      <c r="A4" s="779" t="s">
        <v>564</v>
      </c>
      <c r="B4" s="682">
        <v>284</v>
      </c>
      <c r="E4" s="509" t="s">
        <v>51</v>
      </c>
      <c r="F4" s="509" t="s">
        <v>565</v>
      </c>
    </row>
    <row r="5" spans="1:6" x14ac:dyDescent="0.25">
      <c r="A5" s="779" t="s">
        <v>414</v>
      </c>
      <c r="B5" s="682">
        <v>20</v>
      </c>
      <c r="E5" s="222" t="s">
        <v>150</v>
      </c>
      <c r="F5" s="222">
        <f>SUM(B11:B16)</f>
        <v>82</v>
      </c>
    </row>
    <row r="6" spans="1:6" x14ac:dyDescent="0.25">
      <c r="A6" s="779" t="s">
        <v>421</v>
      </c>
      <c r="B6" s="682">
        <v>15</v>
      </c>
      <c r="E6" s="222" t="s">
        <v>49</v>
      </c>
      <c r="F6" s="222">
        <f>B23</f>
        <v>3</v>
      </c>
    </row>
    <row r="7" spans="1:6" x14ac:dyDescent="0.25">
      <c r="A7" s="779" t="s">
        <v>422</v>
      </c>
      <c r="B7" s="682">
        <v>6</v>
      </c>
      <c r="E7" s="222" t="s">
        <v>343</v>
      </c>
      <c r="F7" s="222">
        <f>B27-B28</f>
        <v>29</v>
      </c>
    </row>
    <row r="8" spans="1:6" x14ac:dyDescent="0.25">
      <c r="A8" s="509" t="s">
        <v>566</v>
      </c>
      <c r="B8" s="682">
        <v>121</v>
      </c>
      <c r="E8" s="222" t="s">
        <v>360</v>
      </c>
      <c r="F8" s="222">
        <f>B42</f>
        <v>2</v>
      </c>
    </row>
    <row r="9" spans="1:6" x14ac:dyDescent="0.25">
      <c r="A9" s="1212" t="s">
        <v>567</v>
      </c>
      <c r="B9" s="682">
        <v>166</v>
      </c>
      <c r="E9" s="222" t="s">
        <v>568</v>
      </c>
      <c r="F9" s="222">
        <f>B18+B20+B21</f>
        <v>34</v>
      </c>
    </row>
    <row r="10" spans="1:6" x14ac:dyDescent="0.25">
      <c r="A10" s="1209" t="s">
        <v>569</v>
      </c>
      <c r="B10" s="682">
        <v>82</v>
      </c>
      <c r="E10" s="509" t="s">
        <v>570</v>
      </c>
      <c r="F10" s="509" t="s">
        <v>571</v>
      </c>
    </row>
    <row r="11" spans="1:6" x14ac:dyDescent="0.25">
      <c r="A11" s="779" t="s">
        <v>572</v>
      </c>
      <c r="B11" s="682">
        <v>54</v>
      </c>
      <c r="E11" s="222" t="s">
        <v>316</v>
      </c>
      <c r="F11" s="222">
        <f>B4</f>
        <v>284</v>
      </c>
    </row>
    <row r="12" spans="1:6" x14ac:dyDescent="0.25">
      <c r="A12" s="779" t="s">
        <v>573</v>
      </c>
      <c r="B12" s="682">
        <v>20</v>
      </c>
      <c r="E12" s="222" t="s">
        <v>574</v>
      </c>
      <c r="F12" s="222">
        <f>B5</f>
        <v>20</v>
      </c>
    </row>
    <row r="13" spans="1:6" x14ac:dyDescent="0.25">
      <c r="A13" s="779" t="s">
        <v>575</v>
      </c>
      <c r="B13" s="682">
        <v>4</v>
      </c>
      <c r="E13" s="222" t="s">
        <v>421</v>
      </c>
      <c r="F13" s="222">
        <f>B6</f>
        <v>15</v>
      </c>
    </row>
    <row r="14" spans="1:6" ht="27.6" customHeight="1" x14ac:dyDescent="0.25">
      <c r="A14" s="779" t="s">
        <v>576</v>
      </c>
      <c r="B14" s="682">
        <v>2</v>
      </c>
      <c r="E14" s="265" t="s">
        <v>422</v>
      </c>
      <c r="F14" s="222">
        <f>B7</f>
        <v>6</v>
      </c>
    </row>
    <row r="15" spans="1:6" ht="27.6" customHeight="1" x14ac:dyDescent="0.25">
      <c r="A15" s="779" t="s">
        <v>577</v>
      </c>
      <c r="B15" s="682">
        <v>1</v>
      </c>
      <c r="E15" s="265" t="s">
        <v>578</v>
      </c>
      <c r="F15" s="222">
        <f>B28</f>
        <v>15</v>
      </c>
    </row>
    <row r="16" spans="1:6" x14ac:dyDescent="0.25">
      <c r="A16" s="779" t="s">
        <v>579</v>
      </c>
      <c r="B16" s="682">
        <v>1</v>
      </c>
      <c r="E16" s="222" t="s">
        <v>580</v>
      </c>
      <c r="F16" s="222">
        <f>B37</f>
        <v>12</v>
      </c>
    </row>
    <row r="17" spans="1:6" x14ac:dyDescent="0.25">
      <c r="A17" s="509" t="s">
        <v>581</v>
      </c>
      <c r="B17" s="682">
        <v>72</v>
      </c>
      <c r="E17" s="222" t="s">
        <v>582</v>
      </c>
      <c r="F17" s="222">
        <f>B38</f>
        <v>10</v>
      </c>
    </row>
    <row r="18" spans="1:6" x14ac:dyDescent="0.25">
      <c r="A18" s="779" t="s">
        <v>583</v>
      </c>
      <c r="B18" s="682">
        <v>22</v>
      </c>
      <c r="C18" s="222" t="s">
        <v>584</v>
      </c>
    </row>
    <row r="19" spans="1:6" x14ac:dyDescent="0.25">
      <c r="A19" s="779" t="s">
        <v>585</v>
      </c>
      <c r="B19" s="682">
        <v>20</v>
      </c>
      <c r="C19" s="222" t="s">
        <v>109</v>
      </c>
    </row>
    <row r="20" spans="1:6" x14ac:dyDescent="0.25">
      <c r="A20" s="779" t="s">
        <v>586</v>
      </c>
      <c r="B20" s="682">
        <v>8</v>
      </c>
      <c r="C20" s="222" t="s">
        <v>584</v>
      </c>
    </row>
    <row r="21" spans="1:6" x14ac:dyDescent="0.25">
      <c r="A21" s="779" t="s">
        <v>587</v>
      </c>
      <c r="B21" s="682">
        <v>4</v>
      </c>
      <c r="C21" s="222" t="s">
        <v>51</v>
      </c>
    </row>
    <row r="22" spans="1:6" x14ac:dyDescent="0.25">
      <c r="A22" s="779" t="s">
        <v>588</v>
      </c>
      <c r="B22" s="682">
        <v>4</v>
      </c>
      <c r="C22" s="222" t="s">
        <v>109</v>
      </c>
    </row>
    <row r="23" spans="1:6" x14ac:dyDescent="0.25">
      <c r="A23" s="779" t="s">
        <v>589</v>
      </c>
      <c r="B23" s="682">
        <v>3</v>
      </c>
      <c r="C23" s="222" t="s">
        <v>590</v>
      </c>
    </row>
    <row r="24" spans="1:6" x14ac:dyDescent="0.25">
      <c r="A24" s="779" t="s">
        <v>591</v>
      </c>
      <c r="B24" s="682">
        <v>3</v>
      </c>
      <c r="C24" s="222" t="s">
        <v>592</v>
      </c>
    </row>
    <row r="25" spans="1:6" x14ac:dyDescent="0.25">
      <c r="A25" s="1213" t="s">
        <v>593</v>
      </c>
      <c r="B25" s="682">
        <v>3</v>
      </c>
      <c r="C25" s="222" t="s">
        <v>55</v>
      </c>
    </row>
    <row r="26" spans="1:6" x14ac:dyDescent="0.25">
      <c r="A26" s="779" t="s">
        <v>594</v>
      </c>
      <c r="B26" s="682">
        <v>4</v>
      </c>
      <c r="C26" s="222" t="s">
        <v>595</v>
      </c>
    </row>
    <row r="27" spans="1:6" x14ac:dyDescent="0.25">
      <c r="A27" s="509" t="s">
        <v>343</v>
      </c>
      <c r="B27" s="682">
        <v>44</v>
      </c>
    </row>
    <row r="28" spans="1:6" x14ac:dyDescent="0.25">
      <c r="A28" s="1206" t="s">
        <v>578</v>
      </c>
      <c r="B28" s="1207">
        <v>15</v>
      </c>
    </row>
    <row r="29" spans="1:6" x14ac:dyDescent="0.25">
      <c r="A29" s="779" t="s">
        <v>596</v>
      </c>
      <c r="B29" s="682">
        <v>14</v>
      </c>
    </row>
    <row r="30" spans="1:6" x14ac:dyDescent="0.25">
      <c r="A30" s="779" t="s">
        <v>597</v>
      </c>
      <c r="B30" s="682">
        <v>10</v>
      </c>
    </row>
    <row r="31" spans="1:6" x14ac:dyDescent="0.25">
      <c r="A31" s="779" t="s">
        <v>598</v>
      </c>
      <c r="B31" s="682">
        <v>2</v>
      </c>
    </row>
    <row r="32" spans="1:6" x14ac:dyDescent="0.25">
      <c r="A32" s="779" t="s">
        <v>599</v>
      </c>
      <c r="B32" s="682">
        <v>2</v>
      </c>
    </row>
    <row r="33" spans="1:6" x14ac:dyDescent="0.25">
      <c r="A33" s="779" t="s">
        <v>600</v>
      </c>
      <c r="B33" s="682">
        <v>1</v>
      </c>
    </row>
    <row r="34" spans="1:6" x14ac:dyDescent="0.25">
      <c r="A34" s="509" t="s">
        <v>601</v>
      </c>
      <c r="B34" s="682">
        <v>88</v>
      </c>
    </row>
    <row r="35" spans="1:6" x14ac:dyDescent="0.25">
      <c r="A35" s="1213" t="s">
        <v>602</v>
      </c>
      <c r="B35" s="682">
        <v>26</v>
      </c>
    </row>
    <row r="36" spans="1:6" x14ac:dyDescent="0.25">
      <c r="A36" s="779" t="s">
        <v>603</v>
      </c>
      <c r="B36" s="682">
        <v>25</v>
      </c>
    </row>
    <row r="37" spans="1:6" x14ac:dyDescent="0.25">
      <c r="A37" s="779" t="s">
        <v>580</v>
      </c>
      <c r="B37" s="682">
        <v>12</v>
      </c>
      <c r="C37" s="222" t="s">
        <v>604</v>
      </c>
      <c r="E37" s="222" t="s">
        <v>605</v>
      </c>
      <c r="F37" s="222" t="s">
        <v>606</v>
      </c>
    </row>
    <row r="38" spans="1:6" x14ac:dyDescent="0.25">
      <c r="A38" s="779" t="s">
        <v>582</v>
      </c>
      <c r="B38" s="682">
        <v>10</v>
      </c>
      <c r="C38" s="222" t="s">
        <v>604</v>
      </c>
      <c r="E38" s="222" t="s">
        <v>607</v>
      </c>
      <c r="F38" s="222" t="s">
        <v>608</v>
      </c>
    </row>
    <row r="39" spans="1:6" x14ac:dyDescent="0.25">
      <c r="A39" s="779" t="s">
        <v>609</v>
      </c>
      <c r="B39" s="682">
        <v>7</v>
      </c>
      <c r="C39" s="222" t="s">
        <v>595</v>
      </c>
      <c r="E39" s="222" t="s">
        <v>610</v>
      </c>
      <c r="F39" s="222" t="s">
        <v>611</v>
      </c>
    </row>
    <row r="40" spans="1:6" x14ac:dyDescent="0.25">
      <c r="A40" s="779" t="s">
        <v>612</v>
      </c>
      <c r="B40" s="682">
        <v>5</v>
      </c>
      <c r="C40" s="222" t="s">
        <v>109</v>
      </c>
      <c r="E40" s="222" t="s">
        <v>613</v>
      </c>
    </row>
    <row r="41" spans="1:6" x14ac:dyDescent="0.25">
      <c r="A41" s="779" t="s">
        <v>614</v>
      </c>
      <c r="B41" s="682">
        <v>2</v>
      </c>
      <c r="C41" s="222" t="s">
        <v>595</v>
      </c>
      <c r="E41" s="222" t="s">
        <v>615</v>
      </c>
    </row>
    <row r="42" spans="1:6" x14ac:dyDescent="0.25">
      <c r="A42" s="779" t="s">
        <v>616</v>
      </c>
      <c r="B42" s="682">
        <v>2</v>
      </c>
      <c r="C42" s="222" t="s">
        <v>584</v>
      </c>
      <c r="E42" s="1208" t="s">
        <v>617</v>
      </c>
    </row>
    <row r="43" spans="1:6" x14ac:dyDescent="0.25">
      <c r="A43" s="779" t="s">
        <v>618</v>
      </c>
      <c r="B43" s="682">
        <v>0</v>
      </c>
      <c r="E43" s="222" t="s">
        <v>619</v>
      </c>
    </row>
    <row r="44" spans="1:6" x14ac:dyDescent="0.25">
      <c r="A44" s="509" t="s">
        <v>620</v>
      </c>
      <c r="B44" s="682">
        <v>40</v>
      </c>
    </row>
    <row r="45" spans="1:6" x14ac:dyDescent="0.25">
      <c r="A45" s="1213" t="s">
        <v>621</v>
      </c>
      <c r="B45" s="1214">
        <v>21</v>
      </c>
    </row>
    <row r="46" spans="1:6" x14ac:dyDescent="0.25">
      <c r="A46" s="779" t="s">
        <v>622</v>
      </c>
      <c r="B46" s="682">
        <v>6</v>
      </c>
    </row>
    <row r="47" spans="1:6" x14ac:dyDescent="0.25">
      <c r="A47" s="1213" t="s">
        <v>623</v>
      </c>
      <c r="B47" s="1214">
        <v>4</v>
      </c>
    </row>
    <row r="48" spans="1:6" x14ac:dyDescent="0.25">
      <c r="A48" s="779" t="s">
        <v>624</v>
      </c>
      <c r="B48" s="682">
        <v>4</v>
      </c>
    </row>
    <row r="49" spans="1:2" x14ac:dyDescent="0.25">
      <c r="A49" s="1213" t="s">
        <v>625</v>
      </c>
      <c r="B49" s="1214">
        <v>3</v>
      </c>
    </row>
    <row r="50" spans="1:2" x14ac:dyDescent="0.25">
      <c r="A50" s="779" t="s">
        <v>626</v>
      </c>
      <c r="B50" s="68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L7" zoomScale="105" zoomScaleNormal="90" workbookViewId="0">
      <selection activeCell="T6" sqref="T6"/>
    </sheetView>
  </sheetViews>
  <sheetFormatPr defaultColWidth="10.8554687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5" t="s">
        <v>833</v>
      </c>
      <c r="I1" s="1516"/>
      <c r="J1" s="1516"/>
      <c r="K1" s="1516"/>
    </row>
    <row r="2" spans="1:62" ht="13.35" customHeight="1" x14ac:dyDescent="0.25">
      <c r="A2" s="1226"/>
      <c r="O2" s="1252" t="s">
        <v>798</v>
      </c>
      <c r="P2" s="1522" t="s">
        <v>627</v>
      </c>
      <c r="Q2" s="1522"/>
      <c r="R2" s="1522"/>
      <c r="S2" s="1522"/>
      <c r="T2" s="1255"/>
      <c r="U2" s="1255"/>
      <c r="V2" s="1255"/>
      <c r="W2" s="1255"/>
      <c r="X2" s="1255"/>
      <c r="Y2" s="1517" t="s">
        <v>628</v>
      </c>
      <c r="Z2" s="1518"/>
      <c r="AA2" s="1518"/>
      <c r="AB2" s="1518"/>
      <c r="AC2" s="1518"/>
      <c r="AD2" s="1518"/>
      <c r="AE2" s="1255"/>
      <c r="AF2" s="1255"/>
      <c r="AG2" s="1519" t="s">
        <v>629</v>
      </c>
      <c r="AH2" s="1518"/>
      <c r="AI2" s="1518"/>
      <c r="AJ2" s="1521" t="s">
        <v>630</v>
      </c>
      <c r="AK2" s="1521"/>
      <c r="AL2" s="1521"/>
      <c r="AM2" s="1521"/>
      <c r="AN2" s="1521"/>
      <c r="AO2" s="1521"/>
      <c r="AP2" s="1521"/>
      <c r="AQ2" s="1521"/>
      <c r="AR2" s="1521"/>
      <c r="AS2" s="1521"/>
      <c r="AT2" s="1256"/>
      <c r="AU2" s="1520" t="s">
        <v>385</v>
      </c>
      <c r="AV2" s="1520"/>
      <c r="AW2" s="1520"/>
      <c r="AX2" s="1520"/>
      <c r="AY2" s="1520"/>
      <c r="AZ2" s="1520"/>
      <c r="BA2" s="1520"/>
      <c r="BB2" s="1237"/>
      <c r="BC2" s="1237"/>
      <c r="BD2" s="1237"/>
      <c r="BE2" s="1237"/>
      <c r="BF2" s="1237"/>
      <c r="BG2" s="1237"/>
      <c r="BH2" s="1237"/>
      <c r="BI2" s="1237"/>
      <c r="BJ2" s="1243" t="s">
        <v>631</v>
      </c>
    </row>
    <row r="3" spans="1:62" ht="43.35" customHeight="1" x14ac:dyDescent="0.25">
      <c r="A3" s="1227"/>
      <c r="B3" s="1227"/>
      <c r="C3" s="1227"/>
      <c r="D3" s="1227"/>
      <c r="E3" s="1227"/>
      <c r="F3" s="1227"/>
      <c r="G3" s="1227"/>
      <c r="H3" s="1227"/>
      <c r="I3" s="1227"/>
      <c r="J3" s="1227"/>
      <c r="K3" s="1227"/>
      <c r="L3" s="1227"/>
      <c r="M3" s="1227"/>
      <c r="N3" s="1227"/>
      <c r="O3" s="1253" t="s">
        <v>632</v>
      </c>
      <c r="P3" s="1236" t="s">
        <v>633</v>
      </c>
      <c r="Q3" s="1236" t="s">
        <v>634</v>
      </c>
      <c r="R3" s="1236" t="s">
        <v>635</v>
      </c>
      <c r="S3" s="1236" t="s">
        <v>636</v>
      </c>
      <c r="T3" s="1236" t="s">
        <v>637</v>
      </c>
      <c r="U3" s="1236" t="s">
        <v>638</v>
      </c>
      <c r="V3" s="1236" t="s">
        <v>639</v>
      </c>
      <c r="W3" s="1236" t="s">
        <v>640</v>
      </c>
      <c r="X3" s="1236" t="s">
        <v>641</v>
      </c>
      <c r="Y3" s="1236" t="s">
        <v>642</v>
      </c>
      <c r="Z3" s="1236"/>
      <c r="AA3" s="1236"/>
      <c r="AB3" s="1236"/>
      <c r="AC3" s="1236" t="s">
        <v>643</v>
      </c>
      <c r="AD3" s="1236" t="s">
        <v>644</v>
      </c>
      <c r="AE3" s="1236" t="s">
        <v>645</v>
      </c>
      <c r="AF3" s="1236" t="s">
        <v>646</v>
      </c>
      <c r="AG3" s="1236" t="s">
        <v>647</v>
      </c>
      <c r="AH3" s="1236" t="s">
        <v>648</v>
      </c>
      <c r="AI3" s="1236" t="s">
        <v>649</v>
      </c>
      <c r="AJ3" s="1236" t="s">
        <v>650</v>
      </c>
      <c r="AK3" s="1236" t="s">
        <v>651</v>
      </c>
      <c r="AL3" s="1236" t="s">
        <v>652</v>
      </c>
      <c r="AM3" s="1236" t="s">
        <v>653</v>
      </c>
      <c r="AN3" s="1236" t="s">
        <v>654</v>
      </c>
      <c r="AO3" s="1236" t="s">
        <v>655</v>
      </c>
      <c r="AP3" s="1236" t="s">
        <v>656</v>
      </c>
      <c r="AQ3" s="1249" t="s">
        <v>657</v>
      </c>
      <c r="AR3" s="1236" t="s">
        <v>658</v>
      </c>
      <c r="AS3" s="1236" t="s">
        <v>659</v>
      </c>
      <c r="AT3" s="1236" t="s">
        <v>660</v>
      </c>
      <c r="AU3" s="1236" t="s">
        <v>661</v>
      </c>
      <c r="AV3" s="1236" t="s">
        <v>662</v>
      </c>
      <c r="AW3" s="1236" t="s">
        <v>663</v>
      </c>
      <c r="AX3" s="1236" t="s">
        <v>664</v>
      </c>
      <c r="AY3" s="1236" t="s">
        <v>665</v>
      </c>
      <c r="AZ3" s="1236" t="s">
        <v>666</v>
      </c>
      <c r="BA3" s="1236" t="s">
        <v>643</v>
      </c>
      <c r="BB3" s="1244" t="s">
        <v>667</v>
      </c>
      <c r="BC3" s="1244" t="s">
        <v>668</v>
      </c>
      <c r="BD3" s="1244" t="s">
        <v>669</v>
      </c>
      <c r="BE3" s="1244" t="s">
        <v>670</v>
      </c>
      <c r="BF3" s="1244" t="s">
        <v>671</v>
      </c>
      <c r="BG3" s="1244" t="s">
        <v>672</v>
      </c>
      <c r="BH3" s="1244" t="s">
        <v>673</v>
      </c>
      <c r="BI3" s="1244" t="s">
        <v>674</v>
      </c>
      <c r="BJ3" s="1238" t="s">
        <v>675</v>
      </c>
    </row>
    <row r="4" spans="1:62" ht="63" customHeight="1" x14ac:dyDescent="0.25">
      <c r="A4" s="1247" t="s">
        <v>676</v>
      </c>
      <c r="B4" s="1226" t="s">
        <v>56</v>
      </c>
      <c r="C4" s="1226" t="s">
        <v>677</v>
      </c>
      <c r="D4" s="1226" t="s">
        <v>547</v>
      </c>
      <c r="E4" s="1226" t="s">
        <v>678</v>
      </c>
      <c r="F4" s="1226" t="s">
        <v>679</v>
      </c>
      <c r="G4" s="1226" t="s">
        <v>680</v>
      </c>
      <c r="H4" s="1226" t="s">
        <v>131</v>
      </c>
      <c r="I4" s="1233" t="s">
        <v>348</v>
      </c>
      <c r="J4" s="1233" t="s">
        <v>150</v>
      </c>
      <c r="K4" s="1233" t="s">
        <v>681</v>
      </c>
      <c r="L4" s="1231" t="s">
        <v>159</v>
      </c>
      <c r="M4" s="1226" t="s">
        <v>109</v>
      </c>
      <c r="N4" s="1226" t="s">
        <v>682</v>
      </c>
      <c r="O4" s="1254" t="s">
        <v>683</v>
      </c>
      <c r="P4" s="1244" t="s">
        <v>684</v>
      </c>
      <c r="Q4" s="1244" t="s">
        <v>685</v>
      </c>
      <c r="R4" s="1244" t="s">
        <v>686</v>
      </c>
      <c r="S4" s="1244" t="s">
        <v>687</v>
      </c>
      <c r="T4" s="1244" t="s">
        <v>688</v>
      </c>
      <c r="U4" s="1244" t="s">
        <v>689</v>
      </c>
      <c r="V4" s="1244" t="s">
        <v>690</v>
      </c>
      <c r="W4" s="1244" t="s">
        <v>691</v>
      </c>
      <c r="X4" s="1244" t="s">
        <v>692</v>
      </c>
      <c r="Y4" s="1244" t="s">
        <v>693</v>
      </c>
      <c r="Z4" s="1244" t="s">
        <v>694</v>
      </c>
      <c r="AA4" s="1244" t="s">
        <v>695</v>
      </c>
      <c r="AB4" s="1244" t="s">
        <v>696</v>
      </c>
      <c r="AC4" s="1244" t="s">
        <v>697</v>
      </c>
      <c r="AD4" s="1244" t="s">
        <v>698</v>
      </c>
      <c r="AE4" s="1244" t="s">
        <v>699</v>
      </c>
      <c r="AF4" s="1244" t="s">
        <v>700</v>
      </c>
      <c r="AG4" s="1244" t="s">
        <v>210</v>
      </c>
      <c r="AH4" s="1244" t="s">
        <v>211</v>
      </c>
      <c r="AI4" s="1244" t="s">
        <v>701</v>
      </c>
      <c r="AJ4" s="1244" t="s">
        <v>702</v>
      </c>
      <c r="AK4" s="1244" t="s">
        <v>703</v>
      </c>
      <c r="AL4" s="1244" t="s">
        <v>704</v>
      </c>
      <c r="AM4" s="1244" t="s">
        <v>705</v>
      </c>
      <c r="AN4" s="1244" t="s">
        <v>706</v>
      </c>
      <c r="AO4" s="1244" t="s">
        <v>707</v>
      </c>
      <c r="AP4" s="1244" t="s">
        <v>708</v>
      </c>
      <c r="AQ4" s="1245" t="s">
        <v>709</v>
      </c>
      <c r="AR4" s="1244" t="s">
        <v>710</v>
      </c>
      <c r="AS4" s="1244" t="s">
        <v>711</v>
      </c>
      <c r="AT4" s="1244" t="s">
        <v>712</v>
      </c>
      <c r="AU4" s="1244" t="s">
        <v>713</v>
      </c>
      <c r="AV4" s="1244" t="s">
        <v>714</v>
      </c>
      <c r="AW4" s="1244" t="s">
        <v>715</v>
      </c>
      <c r="AX4" s="1244" t="s">
        <v>716</v>
      </c>
      <c r="AY4" s="1244" t="s">
        <v>717</v>
      </c>
      <c r="AZ4" s="1244" t="s">
        <v>718</v>
      </c>
      <c r="BA4" s="1244"/>
      <c r="BB4" s="1244" t="s">
        <v>426</v>
      </c>
      <c r="BC4" s="1244" t="s">
        <v>719</v>
      </c>
      <c r="BD4" s="1244" t="s">
        <v>720</v>
      </c>
      <c r="BE4" s="1244" t="s">
        <v>721</v>
      </c>
      <c r="BF4" s="1244" t="s">
        <v>722</v>
      </c>
      <c r="BG4" s="1244" t="s">
        <v>723</v>
      </c>
      <c r="BH4" s="1244" t="s">
        <v>724</v>
      </c>
      <c r="BI4" s="1244" t="s">
        <v>725</v>
      </c>
      <c r="BJ4" s="1246" t="s">
        <v>726</v>
      </c>
    </row>
    <row r="5" spans="1:62" x14ac:dyDescent="0.25">
      <c r="A5" s="1228">
        <v>2021</v>
      </c>
      <c r="B5" s="1230">
        <f>Q5</f>
        <v>394.202</v>
      </c>
      <c r="C5" s="1230">
        <f>SUM(Y5:AB5)</f>
        <v>195.7</v>
      </c>
      <c r="D5" s="1230">
        <f>T5</f>
        <v>18.823</v>
      </c>
      <c r="E5" s="1230">
        <f>SUM(P5:S5)-B5</f>
        <v>0.77600000000001046</v>
      </c>
      <c r="F5" s="1230">
        <f>SUM(T5:AF5)-C5-L5-D5 - 28</f>
        <v>19.722000000000016</v>
      </c>
      <c r="G5" s="1230">
        <f>SUM(BB5:BI5)-BC5</f>
        <v>81.642999999999986</v>
      </c>
      <c r="H5" s="1230">
        <f>SUM(AG5:AI5)</f>
        <v>7.798</v>
      </c>
      <c r="I5" s="1230">
        <f>AJ5</f>
        <v>283.95749999999998</v>
      </c>
      <c r="J5" s="1230">
        <f>AL5</f>
        <v>12.347</v>
      </c>
      <c r="K5" s="1230">
        <f>SUM(AM5:AT5)</f>
        <v>29.628</v>
      </c>
      <c r="L5" s="1234">
        <f>103/4</f>
        <v>25.75</v>
      </c>
      <c r="M5" s="1230">
        <f t="shared" ref="M5:M16" si="0">SUM(AU5:BA5)</f>
        <v>31.939</v>
      </c>
      <c r="N5" s="1230">
        <f>AK5</f>
        <v>3.4</v>
      </c>
      <c r="O5" s="1257">
        <v>50</v>
      </c>
      <c r="P5" s="1251">
        <v>0.55000000000000004</v>
      </c>
      <c r="Q5" s="1088">
        <v>394.202</v>
      </c>
      <c r="R5" s="1259">
        <v>0.14599999999999999</v>
      </c>
      <c r="S5" s="1259">
        <v>0.08</v>
      </c>
      <c r="T5" s="1259">
        <v>18.823</v>
      </c>
      <c r="U5" s="1088">
        <v>19</v>
      </c>
      <c r="V5" s="1259">
        <v>11.481999999999999</v>
      </c>
      <c r="W5" s="753">
        <v>1.5580000000000001</v>
      </c>
      <c r="X5" s="753">
        <v>0.74</v>
      </c>
      <c r="Y5" s="1088">
        <v>0.2</v>
      </c>
      <c r="Z5" s="1088">
        <v>43.1</v>
      </c>
      <c r="AA5" s="1088">
        <v>33.9</v>
      </c>
      <c r="AB5" s="1088">
        <v>118.5</v>
      </c>
      <c r="AC5" s="1088">
        <v>28</v>
      </c>
      <c r="AD5" s="753">
        <v>-2.0379999999999998</v>
      </c>
      <c r="AE5" s="1088">
        <v>14.31</v>
      </c>
      <c r="AF5" s="1259">
        <v>0.42</v>
      </c>
      <c r="AG5" s="1259">
        <v>7.7279999999999998</v>
      </c>
      <c r="AH5" s="1088">
        <v>7.0000000000000007E-2</v>
      </c>
      <c r="AI5" s="1088">
        <v>0</v>
      </c>
      <c r="AJ5" s="1088">
        <v>283.95749999999998</v>
      </c>
      <c r="AK5" s="1250">
        <v>3.4</v>
      </c>
      <c r="AL5" s="1250">
        <v>12.347</v>
      </c>
      <c r="AM5" s="1260">
        <v>0.28599999999999998</v>
      </c>
      <c r="AN5" s="1250">
        <v>2</v>
      </c>
      <c r="AO5" s="1088">
        <v>0.81</v>
      </c>
      <c r="AP5" s="1250">
        <v>0.52100000000000002</v>
      </c>
      <c r="AQ5" s="1261">
        <v>10</v>
      </c>
      <c r="AR5" s="1250">
        <v>2.7</v>
      </c>
      <c r="AS5" s="1250">
        <v>0.751</v>
      </c>
      <c r="AT5" s="1088">
        <v>12.56</v>
      </c>
      <c r="AU5" s="1088">
        <v>0</v>
      </c>
      <c r="AV5" s="1250">
        <v>1.415</v>
      </c>
      <c r="AW5" s="1250">
        <v>10.51</v>
      </c>
      <c r="AX5" s="1250">
        <v>2.6</v>
      </c>
      <c r="AY5" s="1088">
        <v>-0.33</v>
      </c>
      <c r="AZ5" s="1250">
        <v>17.744</v>
      </c>
      <c r="BA5" s="1088">
        <v>0</v>
      </c>
      <c r="BB5" s="1250">
        <v>4.0999999999999996</v>
      </c>
      <c r="BC5" s="1250">
        <v>7.25</v>
      </c>
      <c r="BD5" s="1250">
        <v>48.4</v>
      </c>
      <c r="BE5" s="1259">
        <v>0.83</v>
      </c>
      <c r="BF5" s="753">
        <v>4.5110000000000001</v>
      </c>
      <c r="BG5" s="1088">
        <v>3.0739999999999998</v>
      </c>
      <c r="BH5" s="1215">
        <v>-0.28399999999999997</v>
      </c>
      <c r="BI5" s="1250">
        <v>21.012</v>
      </c>
      <c r="BJ5" s="1239">
        <v>1.1599999999999999</v>
      </c>
    </row>
    <row r="6" spans="1:62" x14ac:dyDescent="0.25">
      <c r="A6" s="1228">
        <v>2022</v>
      </c>
      <c r="B6" s="1230">
        <f t="shared" ref="B6:B15" si="1">Q6</f>
        <v>17.465</v>
      </c>
      <c r="C6" s="1230">
        <f t="shared" ref="C6:C15" si="2">SUM(Y6:AB6)</f>
        <v>10.1</v>
      </c>
      <c r="D6" s="1230">
        <f t="shared" ref="D6:D15" si="3">T6</f>
        <v>2.5950000000000002</v>
      </c>
      <c r="E6" s="1230">
        <f t="shared" ref="E6:E15" si="4">SUM(P6:S6)-B6</f>
        <v>19.719000000000005</v>
      </c>
      <c r="F6" s="1230">
        <f>SUM(T6:AF6)-C6-L6-D6</f>
        <v>52.756999999999998</v>
      </c>
      <c r="G6" s="1230">
        <f t="shared" ref="G6:G16" si="5">SUM(BB6:BI6)-BC6</f>
        <v>110.24799999999999</v>
      </c>
      <c r="H6" s="1230">
        <f t="shared" ref="H6:H15" si="6">SUM(AG6:AI6)</f>
        <v>7.9489999999999998</v>
      </c>
      <c r="I6" s="1230">
        <f t="shared" ref="I6:I15" si="7">AJ6</f>
        <v>77.092500000000001</v>
      </c>
      <c r="J6" s="1230">
        <f t="shared" ref="J6:J15" si="8">AL6</f>
        <v>46.79</v>
      </c>
      <c r="K6" s="1230">
        <f t="shared" ref="K6:K16" si="9">SUM(AM6:AT6)</f>
        <v>35.671000000000006</v>
      </c>
      <c r="L6" s="1234">
        <v>0</v>
      </c>
      <c r="M6" s="1230">
        <f t="shared" si="0"/>
        <v>56.412999999999997</v>
      </c>
      <c r="N6" s="1230">
        <f t="shared" ref="N6:N15" si="10">AK6</f>
        <v>5.0999999999999996</v>
      </c>
      <c r="O6" s="1257">
        <v>55</v>
      </c>
      <c r="P6" s="1251">
        <v>15.61</v>
      </c>
      <c r="Q6" s="1088">
        <v>17.465</v>
      </c>
      <c r="R6" s="1259">
        <v>0.317</v>
      </c>
      <c r="S6" s="1259">
        <v>3.7919999999999998</v>
      </c>
      <c r="T6" s="1088">
        <v>2.5950000000000002</v>
      </c>
      <c r="U6" s="1250">
        <v>14.5</v>
      </c>
      <c r="V6" s="1088">
        <v>25.070999999999998</v>
      </c>
      <c r="W6" s="753">
        <v>1.952</v>
      </c>
      <c r="X6" s="753">
        <v>0.61399999999999999</v>
      </c>
      <c r="Y6" s="1250">
        <v>0</v>
      </c>
      <c r="Z6" s="1250">
        <v>2.2999999999999998</v>
      </c>
      <c r="AA6" s="1250">
        <v>1.6</v>
      </c>
      <c r="AB6" s="1250">
        <v>6.2</v>
      </c>
      <c r="AC6" s="1088">
        <v>0</v>
      </c>
      <c r="AD6" s="1088">
        <v>1.31</v>
      </c>
      <c r="AE6" s="1088">
        <v>8.61</v>
      </c>
      <c r="AF6" s="1088">
        <v>0.7</v>
      </c>
      <c r="AG6" s="1259">
        <v>7.782</v>
      </c>
      <c r="AH6" s="1088">
        <v>0.12</v>
      </c>
      <c r="AI6" s="1088">
        <v>4.7E-2</v>
      </c>
      <c r="AJ6" s="1088">
        <v>77.092500000000001</v>
      </c>
      <c r="AK6" s="1250">
        <v>5.0999999999999996</v>
      </c>
      <c r="AL6" s="1250">
        <v>46.79</v>
      </c>
      <c r="AM6" s="1215">
        <v>0.30499999999999999</v>
      </c>
      <c r="AN6" s="1250">
        <v>4.3</v>
      </c>
      <c r="AO6" s="753">
        <v>1.1000000000000001</v>
      </c>
      <c r="AP6" s="1250">
        <v>1.575</v>
      </c>
      <c r="AQ6" s="1261">
        <v>10</v>
      </c>
      <c r="AR6" s="1250">
        <v>4.5</v>
      </c>
      <c r="AS6" s="1250">
        <v>1.9810000000000001</v>
      </c>
      <c r="AT6" s="1088">
        <v>11.91</v>
      </c>
      <c r="AU6" s="1088">
        <v>0</v>
      </c>
      <c r="AV6" s="1250">
        <v>3.927</v>
      </c>
      <c r="AW6" s="1250">
        <v>4.2880000000000003</v>
      </c>
      <c r="AX6" s="1250">
        <v>3.7</v>
      </c>
      <c r="AY6" s="1088">
        <v>-1.34</v>
      </c>
      <c r="AZ6" s="1250">
        <v>45.838000000000001</v>
      </c>
      <c r="BA6" s="1088">
        <v>0</v>
      </c>
      <c r="BB6" s="1250">
        <v>11.3</v>
      </c>
      <c r="BC6" s="1250">
        <v>0</v>
      </c>
      <c r="BD6" s="1250">
        <v>1.1000000000000001</v>
      </c>
      <c r="BE6" s="1259">
        <v>1.75</v>
      </c>
      <c r="BF6" s="753">
        <v>1.7330000000000001</v>
      </c>
      <c r="BG6" s="753">
        <v>7.1440000000000001</v>
      </c>
      <c r="BH6" s="1216">
        <v>81.608999999999995</v>
      </c>
      <c r="BI6" s="1250">
        <v>5.6120000000000001</v>
      </c>
      <c r="BJ6" s="1239">
        <v>4.2</v>
      </c>
    </row>
    <row r="7" spans="1:62" x14ac:dyDescent="0.25">
      <c r="A7" s="1228">
        <v>2023</v>
      </c>
      <c r="B7" s="1230">
        <f t="shared" si="1"/>
        <v>0.48599999999999999</v>
      </c>
      <c r="C7" s="1230">
        <f t="shared" si="2"/>
        <v>0</v>
      </c>
      <c r="D7" s="1230">
        <f t="shared" si="3"/>
        <v>0.93700000000000006</v>
      </c>
      <c r="E7" s="1230">
        <f t="shared" si="4"/>
        <v>1.4159999999999999</v>
      </c>
      <c r="F7" s="1230">
        <f t="shared" ref="F7:F15" si="11">SUM(T7:AF7)-C7-L7-D7</f>
        <v>12</v>
      </c>
      <c r="G7" s="1230">
        <f t="shared" si="5"/>
        <v>12.726000000000001</v>
      </c>
      <c r="H7" s="1230">
        <f t="shared" si="6"/>
        <v>4.7519999999999998</v>
      </c>
      <c r="I7" s="1230">
        <f t="shared" si="7"/>
        <v>1</v>
      </c>
      <c r="J7" s="1230">
        <f t="shared" si="8"/>
        <v>38.595999999999997</v>
      </c>
      <c r="K7" s="1230">
        <f t="shared" si="9"/>
        <v>24.216000000000001</v>
      </c>
      <c r="L7" s="1234">
        <v>0</v>
      </c>
      <c r="M7" s="1230">
        <f t="shared" si="0"/>
        <v>15.652999999999999</v>
      </c>
      <c r="N7" s="1230">
        <f t="shared" si="10"/>
        <v>0</v>
      </c>
      <c r="O7" s="1257">
        <v>0.7</v>
      </c>
      <c r="P7" s="1251">
        <v>0.96</v>
      </c>
      <c r="Q7" s="1088">
        <v>0.48599999999999999</v>
      </c>
      <c r="R7" s="1259">
        <v>0.45600000000000002</v>
      </c>
      <c r="S7" s="1088">
        <v>0</v>
      </c>
      <c r="T7" s="1217">
        <v>0.93700000000000006</v>
      </c>
      <c r="U7" s="1250">
        <v>3</v>
      </c>
      <c r="V7" s="1259">
        <v>7.891</v>
      </c>
      <c r="W7" s="753">
        <v>0.61699999999999999</v>
      </c>
      <c r="X7" s="753">
        <v>8.4000000000000005E-2</v>
      </c>
      <c r="Y7" s="1250">
        <v>0</v>
      </c>
      <c r="Z7" s="1250">
        <v>0</v>
      </c>
      <c r="AA7" s="1250">
        <v>0</v>
      </c>
      <c r="AB7" s="1250">
        <v>0</v>
      </c>
      <c r="AC7" s="1088">
        <v>0</v>
      </c>
      <c r="AD7" s="1088">
        <v>0.318</v>
      </c>
      <c r="AE7" s="1259">
        <v>-0.11000000000000001</v>
      </c>
      <c r="AF7" s="1088">
        <v>0.2</v>
      </c>
      <c r="AG7" s="1259">
        <v>4.6749999999999998</v>
      </c>
      <c r="AH7" s="1088">
        <v>0.06</v>
      </c>
      <c r="AI7" s="1088">
        <v>1.7000000000000001E-2</v>
      </c>
      <c r="AJ7" s="1088">
        <v>1</v>
      </c>
      <c r="AK7" s="1250">
        <v>0</v>
      </c>
      <c r="AL7" s="1250">
        <v>38.595999999999997</v>
      </c>
      <c r="AM7" s="1088">
        <v>0.14899999999999999</v>
      </c>
      <c r="AN7" s="1250">
        <v>1.2</v>
      </c>
      <c r="AO7" s="753">
        <v>0.53</v>
      </c>
      <c r="AP7" s="1250">
        <v>0.38100000000000001</v>
      </c>
      <c r="AQ7" s="1261">
        <v>8</v>
      </c>
      <c r="AR7" s="1250">
        <v>4.5</v>
      </c>
      <c r="AS7" s="1250">
        <v>0.76600000000000001</v>
      </c>
      <c r="AT7" s="1088">
        <v>8.69</v>
      </c>
      <c r="AU7" s="1088">
        <v>0</v>
      </c>
      <c r="AV7" s="1250">
        <v>1.93</v>
      </c>
      <c r="AW7" s="1250">
        <v>1.4379999999999999</v>
      </c>
      <c r="AX7" s="1250">
        <v>2.6</v>
      </c>
      <c r="AY7" s="753">
        <v>-2.48</v>
      </c>
      <c r="AZ7" s="1250">
        <v>12.164999999999999</v>
      </c>
      <c r="BA7" s="753">
        <v>0</v>
      </c>
      <c r="BB7" s="1250">
        <v>8.4</v>
      </c>
      <c r="BC7" s="1250">
        <v>0</v>
      </c>
      <c r="BD7" s="1250">
        <v>0.3</v>
      </c>
      <c r="BE7" s="1259">
        <v>1.8</v>
      </c>
      <c r="BF7" s="753">
        <v>0</v>
      </c>
      <c r="BG7" s="753">
        <v>0</v>
      </c>
      <c r="BH7" s="1215">
        <v>1.3759999999999999</v>
      </c>
      <c r="BI7" s="1250">
        <v>0.85</v>
      </c>
      <c r="BJ7" s="1239">
        <v>2.7</v>
      </c>
    </row>
    <row r="8" spans="1:62" x14ac:dyDescent="0.25">
      <c r="A8" s="1228">
        <v>2024</v>
      </c>
      <c r="B8" s="1230">
        <f t="shared" si="1"/>
        <v>0</v>
      </c>
      <c r="C8" s="1230">
        <f t="shared" si="2"/>
        <v>0</v>
      </c>
      <c r="D8" s="1230">
        <f t="shared" si="3"/>
        <v>0.16</v>
      </c>
      <c r="E8" s="1230">
        <f t="shared" si="4"/>
        <v>1.4790000000000001</v>
      </c>
      <c r="F8" s="1230">
        <f t="shared" si="11"/>
        <v>4.2219999999999995</v>
      </c>
      <c r="G8" s="1230">
        <f t="shared" si="5"/>
        <v>1.365</v>
      </c>
      <c r="H8" s="1230">
        <f t="shared" si="6"/>
        <v>4.637999999999999</v>
      </c>
      <c r="I8" s="1230">
        <f t="shared" si="7"/>
        <v>0</v>
      </c>
      <c r="J8" s="1230">
        <f t="shared" si="8"/>
        <v>31.911000000000001</v>
      </c>
      <c r="K8" s="1230">
        <f t="shared" si="9"/>
        <v>9.6430000000000007</v>
      </c>
      <c r="L8" s="1234">
        <v>0</v>
      </c>
      <c r="M8" s="1230">
        <f t="shared" si="0"/>
        <v>3.9320000000000004</v>
      </c>
      <c r="N8" s="1230">
        <f t="shared" si="10"/>
        <v>0</v>
      </c>
      <c r="O8" s="1257">
        <v>0.7</v>
      </c>
      <c r="P8" s="1251">
        <v>0.96</v>
      </c>
      <c r="Q8" s="1250">
        <v>0</v>
      </c>
      <c r="R8" s="1259">
        <v>0.51900000000000002</v>
      </c>
      <c r="S8" s="1088">
        <v>0</v>
      </c>
      <c r="T8" s="1218">
        <v>0.16</v>
      </c>
      <c r="U8" s="1250">
        <v>2.8</v>
      </c>
      <c r="V8" s="1088">
        <v>0.504</v>
      </c>
      <c r="W8" s="753">
        <v>0.47199999999999998</v>
      </c>
      <c r="X8" s="753">
        <v>2E-3</v>
      </c>
      <c r="Y8" s="1250">
        <v>0</v>
      </c>
      <c r="Z8" s="1250">
        <v>0</v>
      </c>
      <c r="AA8" s="1250">
        <v>0</v>
      </c>
      <c r="AB8" s="1250">
        <v>0</v>
      </c>
      <c r="AC8" s="1088">
        <v>0</v>
      </c>
      <c r="AD8" s="1088">
        <v>0.34399999999999997</v>
      </c>
      <c r="AE8" s="1259">
        <v>0</v>
      </c>
      <c r="AF8" s="1259">
        <v>0.1</v>
      </c>
      <c r="AG8" s="1259">
        <v>4.5739999999999998</v>
      </c>
      <c r="AH8" s="1088">
        <v>0.06</v>
      </c>
      <c r="AI8" s="1088">
        <v>4.0000000000000001E-3</v>
      </c>
      <c r="AJ8" s="1088">
        <v>0</v>
      </c>
      <c r="AK8" s="1250">
        <v>0</v>
      </c>
      <c r="AL8" s="1250">
        <v>31.911000000000001</v>
      </c>
      <c r="AM8" s="1088">
        <v>4.1000000000000002E-2</v>
      </c>
      <c r="AN8" s="1250">
        <v>0.4</v>
      </c>
      <c r="AO8" s="753">
        <v>0.41</v>
      </c>
      <c r="AP8" s="1250">
        <v>0.13100000000000001</v>
      </c>
      <c r="AQ8" s="1261">
        <v>0</v>
      </c>
      <c r="AR8" s="1250">
        <v>3</v>
      </c>
      <c r="AS8" s="1250">
        <v>0.30099999999999999</v>
      </c>
      <c r="AT8" s="753">
        <v>5.36</v>
      </c>
      <c r="AU8" s="1088">
        <v>0</v>
      </c>
      <c r="AV8" s="1250">
        <v>0.79600000000000004</v>
      </c>
      <c r="AW8" s="1250">
        <v>0.27500000000000002</v>
      </c>
      <c r="AX8" s="1250">
        <v>1</v>
      </c>
      <c r="AY8" s="753">
        <v>-2.6</v>
      </c>
      <c r="AZ8" s="1250">
        <v>4.4610000000000003</v>
      </c>
      <c r="BA8" s="753">
        <v>0</v>
      </c>
      <c r="BB8" s="1250">
        <v>0.2</v>
      </c>
      <c r="BC8" s="1250">
        <v>0</v>
      </c>
      <c r="BD8" s="1250">
        <v>0</v>
      </c>
      <c r="BE8" s="1259">
        <v>1.95</v>
      </c>
      <c r="BF8" s="753">
        <v>0</v>
      </c>
      <c r="BG8" s="753">
        <v>0</v>
      </c>
      <c r="BH8" s="1215">
        <v>-0.875</v>
      </c>
      <c r="BI8" s="1250">
        <v>0.09</v>
      </c>
      <c r="BJ8" s="1240">
        <v>0.87</v>
      </c>
    </row>
    <row r="9" spans="1:62" x14ac:dyDescent="0.25">
      <c r="A9" s="1228">
        <v>2025</v>
      </c>
      <c r="B9" s="1230">
        <f t="shared" si="1"/>
        <v>0</v>
      </c>
      <c r="C9" s="1230">
        <f t="shared" si="2"/>
        <v>0</v>
      </c>
      <c r="D9" s="1230">
        <f t="shared" si="3"/>
        <v>3.3000000000000002E-2</v>
      </c>
      <c r="E9" s="1230">
        <f t="shared" si="4"/>
        <v>1.63</v>
      </c>
      <c r="F9" s="1230">
        <f t="shared" si="11"/>
        <v>2.3719999999999999</v>
      </c>
      <c r="G9" s="1230">
        <f t="shared" si="5"/>
        <v>-0.90100000000000025</v>
      </c>
      <c r="H9" s="1230">
        <f t="shared" si="6"/>
        <v>1.8800000000000001</v>
      </c>
      <c r="I9" s="1230">
        <f t="shared" si="7"/>
        <v>0</v>
      </c>
      <c r="J9" s="1230">
        <f t="shared" si="8"/>
        <v>23.099</v>
      </c>
      <c r="K9" s="1230">
        <f t="shared" si="9"/>
        <v>4.5789999999999997</v>
      </c>
      <c r="L9" s="1234">
        <v>0</v>
      </c>
      <c r="M9" s="1230">
        <f t="shared" si="0"/>
        <v>-0.74299999999999988</v>
      </c>
      <c r="N9" s="1230">
        <f t="shared" si="10"/>
        <v>0</v>
      </c>
      <c r="O9" s="1257">
        <v>0.7</v>
      </c>
      <c r="P9" s="1251">
        <v>1.06</v>
      </c>
      <c r="Q9" s="1250">
        <v>0</v>
      </c>
      <c r="R9" s="1259">
        <v>0.56999999999999995</v>
      </c>
      <c r="S9" s="1088">
        <v>0</v>
      </c>
      <c r="T9" s="1219">
        <v>3.3000000000000002E-2</v>
      </c>
      <c r="U9" s="1250">
        <v>2</v>
      </c>
      <c r="V9" s="1219">
        <v>0</v>
      </c>
      <c r="W9" s="753">
        <v>0.21299999999999999</v>
      </c>
      <c r="X9" s="753">
        <v>2E-3</v>
      </c>
      <c r="Y9" s="1250">
        <v>0</v>
      </c>
      <c r="Z9" s="1250">
        <v>0</v>
      </c>
      <c r="AA9" s="1250">
        <v>0</v>
      </c>
      <c r="AB9" s="1250">
        <v>0</v>
      </c>
      <c r="AC9" s="1088">
        <v>0</v>
      </c>
      <c r="AD9" s="1088">
        <v>0.157</v>
      </c>
      <c r="AE9" s="1259">
        <v>0</v>
      </c>
      <c r="AF9" s="1259">
        <v>0</v>
      </c>
      <c r="AG9" s="1088">
        <v>1.81</v>
      </c>
      <c r="AH9" s="1088">
        <v>7.0000000000000007E-2</v>
      </c>
      <c r="AI9" s="1088">
        <v>0</v>
      </c>
      <c r="AJ9" s="1250">
        <v>0</v>
      </c>
      <c r="AK9" s="1250">
        <v>0</v>
      </c>
      <c r="AL9" s="1250">
        <v>23.099</v>
      </c>
      <c r="AM9" s="1088">
        <v>1.2999999999999999E-2</v>
      </c>
      <c r="AN9" s="1250">
        <v>0.3</v>
      </c>
      <c r="AO9" s="1248">
        <v>0.15</v>
      </c>
      <c r="AP9" s="1250">
        <v>0.112</v>
      </c>
      <c r="AQ9" s="1261">
        <v>0</v>
      </c>
      <c r="AR9" s="1250">
        <v>0.2</v>
      </c>
      <c r="AS9" s="1250">
        <v>7.3999999999999996E-2</v>
      </c>
      <c r="AT9" s="753">
        <v>3.73</v>
      </c>
      <c r="AU9" s="1088">
        <v>0</v>
      </c>
      <c r="AV9" s="1250">
        <v>5.3999999999999999E-2</v>
      </c>
      <c r="AW9" s="1250">
        <v>0.13100000000000001</v>
      </c>
      <c r="AX9" s="1250">
        <v>0</v>
      </c>
      <c r="AY9" s="753">
        <v>-2.71</v>
      </c>
      <c r="AZ9" s="1250">
        <v>1.782</v>
      </c>
      <c r="BA9" s="753">
        <v>0</v>
      </c>
      <c r="BB9" s="1250">
        <v>0</v>
      </c>
      <c r="BC9" s="1250">
        <v>0</v>
      </c>
      <c r="BD9" s="1250">
        <v>0</v>
      </c>
      <c r="BE9" s="1259">
        <v>1.43</v>
      </c>
      <c r="BF9" s="753">
        <v>0</v>
      </c>
      <c r="BG9" s="753">
        <v>0</v>
      </c>
      <c r="BH9" s="1215">
        <v>-2.3410000000000002</v>
      </c>
      <c r="BI9" s="1250">
        <v>0.01</v>
      </c>
      <c r="BJ9" s="1240">
        <v>0.33</v>
      </c>
    </row>
    <row r="10" spans="1:62" x14ac:dyDescent="0.25">
      <c r="A10" s="1228">
        <v>2026</v>
      </c>
      <c r="B10" s="1230">
        <f t="shared" si="1"/>
        <v>0</v>
      </c>
      <c r="C10" s="1230">
        <f t="shared" si="2"/>
        <v>0</v>
      </c>
      <c r="D10" s="1230">
        <f t="shared" si="3"/>
        <v>3.2000000000000001E-2</v>
      </c>
      <c r="E10" s="1230">
        <f t="shared" si="4"/>
        <v>1.671</v>
      </c>
      <c r="F10" s="1230">
        <f t="shared" si="11"/>
        <v>0.49</v>
      </c>
      <c r="G10" s="1230">
        <f t="shared" si="5"/>
        <v>-2.1500000000000004</v>
      </c>
      <c r="H10" s="1230">
        <f t="shared" si="6"/>
        <v>1.446</v>
      </c>
      <c r="I10" s="1230">
        <f t="shared" si="7"/>
        <v>0</v>
      </c>
      <c r="J10" s="1230">
        <f t="shared" si="8"/>
        <v>10.766999999999999</v>
      </c>
      <c r="K10" s="1230">
        <f t="shared" si="9"/>
        <v>2.9130000000000003</v>
      </c>
      <c r="L10" s="1234"/>
      <c r="M10" s="1230">
        <f t="shared" si="0"/>
        <v>-21.606000000000002</v>
      </c>
      <c r="N10" s="1230">
        <f t="shared" si="10"/>
        <v>0</v>
      </c>
      <c r="O10" s="1257">
        <v>0.7</v>
      </c>
      <c r="P10" s="1251">
        <v>1.07</v>
      </c>
      <c r="Q10" s="1250">
        <v>0</v>
      </c>
      <c r="R10" s="1259">
        <v>0.60099999999999998</v>
      </c>
      <c r="S10" s="1088">
        <v>0</v>
      </c>
      <c r="T10" s="1215">
        <v>3.2000000000000001E-2</v>
      </c>
      <c r="U10" s="1250">
        <v>0.3</v>
      </c>
      <c r="V10" s="1259">
        <v>0</v>
      </c>
      <c r="W10" s="753">
        <v>0.188</v>
      </c>
      <c r="X10" s="753">
        <v>2E-3</v>
      </c>
      <c r="Y10" s="1250">
        <v>0</v>
      </c>
      <c r="Z10" s="1250">
        <v>0</v>
      </c>
      <c r="AA10" s="1250">
        <v>0</v>
      </c>
      <c r="AB10" s="1250">
        <v>0</v>
      </c>
      <c r="AC10" s="1088">
        <v>0</v>
      </c>
      <c r="AD10" s="1088">
        <v>0</v>
      </c>
      <c r="AE10" s="1088">
        <v>0</v>
      </c>
      <c r="AF10" s="1259">
        <v>0</v>
      </c>
      <c r="AG10" s="1088">
        <v>1.3759999999999999</v>
      </c>
      <c r="AH10" s="1088">
        <v>7.0000000000000007E-2</v>
      </c>
      <c r="AI10" s="1088">
        <v>0</v>
      </c>
      <c r="AJ10" s="1220">
        <v>0</v>
      </c>
      <c r="AK10" s="1250">
        <v>0</v>
      </c>
      <c r="AL10" s="1250">
        <v>10.766999999999999</v>
      </c>
      <c r="AM10" s="1088">
        <v>3.0000000000000001E-3</v>
      </c>
      <c r="AN10" s="1250">
        <v>0.2</v>
      </c>
      <c r="AO10" s="1248">
        <v>0.1</v>
      </c>
      <c r="AP10" s="1250">
        <v>0.05</v>
      </c>
      <c r="AQ10" s="1261">
        <v>0</v>
      </c>
      <c r="AR10" s="1250">
        <v>0</v>
      </c>
      <c r="AS10" s="1250">
        <v>0</v>
      </c>
      <c r="AT10" s="753">
        <v>2.56</v>
      </c>
      <c r="AU10" s="1088">
        <v>0</v>
      </c>
      <c r="AV10" s="1250">
        <v>3.7999999999999999E-2</v>
      </c>
      <c r="AW10" s="1250">
        <v>2.5999999999999999E-2</v>
      </c>
      <c r="AX10" s="1250">
        <v>0</v>
      </c>
      <c r="AY10" s="753">
        <v>-2.6700000000000004</v>
      </c>
      <c r="AZ10" s="1250">
        <v>0</v>
      </c>
      <c r="BA10" s="753">
        <v>-19</v>
      </c>
      <c r="BB10" s="1250">
        <v>0</v>
      </c>
      <c r="BC10" s="1250">
        <v>0</v>
      </c>
      <c r="BD10" s="1250">
        <v>0</v>
      </c>
      <c r="BE10" s="753">
        <v>0.88</v>
      </c>
      <c r="BF10" s="753">
        <v>0</v>
      </c>
      <c r="BG10" s="753">
        <v>0</v>
      </c>
      <c r="BH10" s="1088">
        <v>-2.8200000000000003</v>
      </c>
      <c r="BI10" s="1250">
        <v>-0.21</v>
      </c>
      <c r="BJ10" s="1240">
        <v>0.17</v>
      </c>
    </row>
    <row r="11" spans="1:62" x14ac:dyDescent="0.25">
      <c r="A11" s="1228">
        <v>2027</v>
      </c>
      <c r="B11" s="1230">
        <f t="shared" si="1"/>
        <v>0</v>
      </c>
      <c r="C11" s="1230">
        <f t="shared" si="2"/>
        <v>0</v>
      </c>
      <c r="D11" s="1230">
        <f t="shared" si="3"/>
        <v>3.2000000000000001E-2</v>
      </c>
      <c r="E11" s="1230">
        <f t="shared" si="4"/>
        <v>1.7130000000000001</v>
      </c>
      <c r="F11" s="1230">
        <f t="shared" si="11"/>
        <v>0</v>
      </c>
      <c r="G11" s="1230">
        <f t="shared" si="5"/>
        <v>-4.8169999999999993</v>
      </c>
      <c r="H11" s="1230">
        <f t="shared" si="6"/>
        <v>0.65699999999999992</v>
      </c>
      <c r="I11" s="1230">
        <f t="shared" si="7"/>
        <v>0</v>
      </c>
      <c r="J11" s="1230">
        <f t="shared" si="8"/>
        <v>4.0789999999999997</v>
      </c>
      <c r="K11" s="1230">
        <f t="shared" si="9"/>
        <v>2.46</v>
      </c>
      <c r="L11" s="1234"/>
      <c r="M11" s="1230">
        <f t="shared" si="0"/>
        <v>-14.713000000000001</v>
      </c>
      <c r="N11" s="1230">
        <f t="shared" si="10"/>
        <v>0</v>
      </c>
      <c r="O11" s="1257">
        <v>0.3</v>
      </c>
      <c r="P11" s="1251">
        <v>1.08</v>
      </c>
      <c r="Q11" s="1250">
        <v>0</v>
      </c>
      <c r="R11" s="1259">
        <v>0.63300000000000001</v>
      </c>
      <c r="S11" s="1218">
        <v>0</v>
      </c>
      <c r="T11" s="1250">
        <v>3.2000000000000001E-2</v>
      </c>
      <c r="U11" s="1250">
        <v>0</v>
      </c>
      <c r="V11" s="1088">
        <v>0</v>
      </c>
      <c r="W11" s="753">
        <v>0</v>
      </c>
      <c r="X11" s="753">
        <v>0</v>
      </c>
      <c r="Y11" s="1250">
        <v>0</v>
      </c>
      <c r="Z11" s="1250">
        <v>0</v>
      </c>
      <c r="AA11" s="1250">
        <v>0</v>
      </c>
      <c r="AB11" s="1250">
        <v>0</v>
      </c>
      <c r="AC11" s="1088">
        <v>0</v>
      </c>
      <c r="AD11" s="1259">
        <v>0</v>
      </c>
      <c r="AE11" s="1088">
        <v>0</v>
      </c>
      <c r="AF11" s="1259">
        <v>0</v>
      </c>
      <c r="AG11" s="1088">
        <v>0.57699999999999996</v>
      </c>
      <c r="AH11" s="1088">
        <v>0.08</v>
      </c>
      <c r="AI11" s="1088">
        <v>0</v>
      </c>
      <c r="AJ11" s="1088">
        <v>0</v>
      </c>
      <c r="AK11" s="1250">
        <v>0</v>
      </c>
      <c r="AL11" s="1250">
        <v>4.0789999999999997</v>
      </c>
      <c r="AM11" s="1250">
        <v>0</v>
      </c>
      <c r="AN11" s="1250">
        <v>0.1</v>
      </c>
      <c r="AO11" s="1248">
        <v>0.1</v>
      </c>
      <c r="AP11" s="1250">
        <v>0.03</v>
      </c>
      <c r="AQ11" s="1261">
        <v>0</v>
      </c>
      <c r="AR11" s="1250">
        <v>0</v>
      </c>
      <c r="AS11" s="1250">
        <v>0</v>
      </c>
      <c r="AT11" s="1248">
        <v>2.23</v>
      </c>
      <c r="AU11" s="1088">
        <v>0</v>
      </c>
      <c r="AV11" s="1250">
        <v>1.7000000000000001E-2</v>
      </c>
      <c r="AW11" s="1250">
        <v>0</v>
      </c>
      <c r="AX11" s="1250">
        <v>0</v>
      </c>
      <c r="AY11" s="753">
        <v>-2.73</v>
      </c>
      <c r="AZ11" s="1250">
        <v>0</v>
      </c>
      <c r="BA11" s="753">
        <v>-12</v>
      </c>
      <c r="BB11" s="1250">
        <v>0</v>
      </c>
      <c r="BC11" s="1250">
        <v>0</v>
      </c>
      <c r="BD11" s="1250">
        <v>0</v>
      </c>
      <c r="BE11" s="753">
        <v>0.28000000000000003</v>
      </c>
      <c r="BF11" s="753">
        <v>0</v>
      </c>
      <c r="BG11" s="753">
        <v>0</v>
      </c>
      <c r="BH11" s="1219">
        <v>-5.0069999999999997</v>
      </c>
      <c r="BI11" s="1250">
        <v>-0.09</v>
      </c>
      <c r="BJ11" s="1241">
        <v>0.06</v>
      </c>
    </row>
    <row r="12" spans="1:62" x14ac:dyDescent="0.25">
      <c r="A12" s="1228">
        <v>2028</v>
      </c>
      <c r="B12" s="1230">
        <f t="shared" si="1"/>
        <v>0</v>
      </c>
      <c r="C12" s="1230">
        <f t="shared" si="2"/>
        <v>0</v>
      </c>
      <c r="D12" s="1230">
        <f t="shared" si="3"/>
        <v>3.3000000000000002E-2</v>
      </c>
      <c r="E12" s="1230">
        <f t="shared" si="4"/>
        <v>1.7130000000000001</v>
      </c>
      <c r="F12" s="1230">
        <f t="shared" si="11"/>
        <v>0</v>
      </c>
      <c r="G12" s="1230">
        <f t="shared" si="5"/>
        <v>-5.0590000000000002</v>
      </c>
      <c r="H12" s="1230">
        <f t="shared" si="6"/>
        <v>-1.071</v>
      </c>
      <c r="I12" s="1230">
        <f t="shared" si="7"/>
        <v>0</v>
      </c>
      <c r="J12" s="1230">
        <f t="shared" si="8"/>
        <v>1.635</v>
      </c>
      <c r="K12" s="1230">
        <f t="shared" si="9"/>
        <v>1.81</v>
      </c>
      <c r="L12" s="1234"/>
      <c r="M12" s="1230">
        <f t="shared" si="0"/>
        <v>-2.7690000000000001</v>
      </c>
      <c r="N12" s="1230">
        <f t="shared" si="10"/>
        <v>0</v>
      </c>
      <c r="O12" s="1257">
        <v>0.3</v>
      </c>
      <c r="P12" s="1251">
        <v>1.08</v>
      </c>
      <c r="Q12" s="1250">
        <v>0</v>
      </c>
      <c r="R12" s="1259">
        <v>0.63300000000000001</v>
      </c>
      <c r="S12" s="1218">
        <v>0</v>
      </c>
      <c r="T12" s="1221">
        <v>3.3000000000000002E-2</v>
      </c>
      <c r="U12" s="1250">
        <v>0</v>
      </c>
      <c r="V12" s="1088">
        <v>0</v>
      </c>
      <c r="W12" s="753">
        <v>0</v>
      </c>
      <c r="X12" s="753">
        <v>0</v>
      </c>
      <c r="Y12" s="1250">
        <v>0</v>
      </c>
      <c r="Z12" s="1250">
        <v>0</v>
      </c>
      <c r="AA12" s="1250">
        <v>0</v>
      </c>
      <c r="AB12" s="1250">
        <v>0</v>
      </c>
      <c r="AC12" s="1088">
        <v>0</v>
      </c>
      <c r="AD12" s="1088">
        <v>0</v>
      </c>
      <c r="AE12" s="1088">
        <v>0</v>
      </c>
      <c r="AF12" s="1088">
        <v>0</v>
      </c>
      <c r="AG12" s="1088">
        <v>-1.151</v>
      </c>
      <c r="AH12" s="1088">
        <v>0.08</v>
      </c>
      <c r="AI12" s="1088">
        <v>0</v>
      </c>
      <c r="AJ12" s="1088">
        <v>0</v>
      </c>
      <c r="AK12" s="1250">
        <v>0</v>
      </c>
      <c r="AL12" s="1250">
        <v>1.635</v>
      </c>
      <c r="AM12" s="1250">
        <v>0</v>
      </c>
      <c r="AN12" s="1250">
        <v>0.1</v>
      </c>
      <c r="AO12" s="753">
        <v>0</v>
      </c>
      <c r="AP12" s="1250">
        <v>0</v>
      </c>
      <c r="AQ12" s="1261">
        <v>0</v>
      </c>
      <c r="AR12" s="1250">
        <v>0</v>
      </c>
      <c r="AS12" s="1250">
        <v>0</v>
      </c>
      <c r="AT12" s="1248">
        <v>1.71</v>
      </c>
      <c r="AU12" s="1088">
        <v>0</v>
      </c>
      <c r="AV12" s="1250">
        <v>1E-3</v>
      </c>
      <c r="AW12" s="1250">
        <v>0</v>
      </c>
      <c r="AX12" s="1250">
        <v>0</v>
      </c>
      <c r="AY12" s="753">
        <v>-2.77</v>
      </c>
      <c r="AZ12" s="1250">
        <v>0</v>
      </c>
      <c r="BA12" s="753">
        <v>0</v>
      </c>
      <c r="BB12" s="1250">
        <v>0</v>
      </c>
      <c r="BC12" s="1250">
        <v>0</v>
      </c>
      <c r="BD12" s="1250">
        <v>0</v>
      </c>
      <c r="BE12" s="753">
        <v>0.1</v>
      </c>
      <c r="BF12" s="753">
        <v>0</v>
      </c>
      <c r="BG12" s="753">
        <v>0</v>
      </c>
      <c r="BH12" s="1219">
        <v>-5.069</v>
      </c>
      <c r="BI12" s="1250">
        <v>-0.09</v>
      </c>
      <c r="BJ12" s="1241">
        <v>0.03</v>
      </c>
    </row>
    <row r="13" spans="1:62" x14ac:dyDescent="0.25">
      <c r="A13" s="1228">
        <v>2029</v>
      </c>
      <c r="B13" s="1230">
        <f t="shared" si="1"/>
        <v>0</v>
      </c>
      <c r="C13" s="1230">
        <f t="shared" si="2"/>
        <v>0</v>
      </c>
      <c r="D13" s="1230">
        <f t="shared" si="3"/>
        <v>3.3000000000000002E-2</v>
      </c>
      <c r="E13" s="1230">
        <f t="shared" si="4"/>
        <v>1.7130000000000001</v>
      </c>
      <c r="F13" s="1230">
        <f t="shared" si="11"/>
        <v>0</v>
      </c>
      <c r="G13" s="1230">
        <f t="shared" si="5"/>
        <v>-5.218</v>
      </c>
      <c r="H13" s="1230">
        <f t="shared" si="6"/>
        <v>-1.964</v>
      </c>
      <c r="I13" s="1230">
        <f t="shared" si="7"/>
        <v>0</v>
      </c>
      <c r="J13" s="1230">
        <f t="shared" si="8"/>
        <v>-1.7000000000000001E-2</v>
      </c>
      <c r="K13" s="1230">
        <f t="shared" si="9"/>
        <v>1</v>
      </c>
      <c r="L13" s="1234"/>
      <c r="M13" s="1230">
        <f t="shared" si="0"/>
        <v>-2.75</v>
      </c>
      <c r="N13" s="1230">
        <f t="shared" si="10"/>
        <v>0</v>
      </c>
      <c r="O13" s="1257">
        <v>0.3</v>
      </c>
      <c r="P13" s="1251">
        <v>1.08</v>
      </c>
      <c r="Q13" s="1250">
        <v>0</v>
      </c>
      <c r="R13" s="1259">
        <v>0.63300000000000001</v>
      </c>
      <c r="S13" s="1218">
        <v>0</v>
      </c>
      <c r="T13" s="1088">
        <v>3.3000000000000002E-2</v>
      </c>
      <c r="U13" s="1250">
        <v>0</v>
      </c>
      <c r="V13" s="1088">
        <v>0</v>
      </c>
      <c r="W13" s="753">
        <v>0</v>
      </c>
      <c r="X13" s="753">
        <v>0</v>
      </c>
      <c r="Y13" s="1250">
        <v>0</v>
      </c>
      <c r="Z13" s="1250">
        <v>0</v>
      </c>
      <c r="AA13" s="1250">
        <v>0</v>
      </c>
      <c r="AB13" s="1250">
        <v>0</v>
      </c>
      <c r="AC13" s="1088">
        <v>0</v>
      </c>
      <c r="AD13" s="1088">
        <v>0</v>
      </c>
      <c r="AE13" s="1088">
        <v>0</v>
      </c>
      <c r="AF13" s="1088">
        <v>0</v>
      </c>
      <c r="AG13" s="1250">
        <v>-2.044</v>
      </c>
      <c r="AH13" s="1088">
        <v>0.08</v>
      </c>
      <c r="AI13" s="1088">
        <v>0</v>
      </c>
      <c r="AJ13" s="1222">
        <v>0</v>
      </c>
      <c r="AK13" s="1250">
        <v>0</v>
      </c>
      <c r="AL13" s="1250">
        <v>-1.7000000000000001E-2</v>
      </c>
      <c r="AM13" s="1250">
        <v>0</v>
      </c>
      <c r="AN13" s="1250">
        <v>0</v>
      </c>
      <c r="AO13" s="753">
        <v>0</v>
      </c>
      <c r="AP13" s="1250">
        <v>0</v>
      </c>
      <c r="AQ13" s="1261">
        <v>0</v>
      </c>
      <c r="AR13" s="1250">
        <v>0</v>
      </c>
      <c r="AS13" s="1250">
        <v>0</v>
      </c>
      <c r="AT13" s="1248">
        <v>1</v>
      </c>
      <c r="AU13" s="1088">
        <v>0</v>
      </c>
      <c r="AV13" s="1250">
        <v>0</v>
      </c>
      <c r="AW13" s="1250">
        <v>0</v>
      </c>
      <c r="AX13" s="1250">
        <v>0</v>
      </c>
      <c r="AY13" s="753">
        <v>-2.75</v>
      </c>
      <c r="AZ13" s="1250">
        <v>0</v>
      </c>
      <c r="BA13" s="753">
        <v>0</v>
      </c>
      <c r="BB13" s="1250">
        <v>0</v>
      </c>
      <c r="BC13" s="1250">
        <v>0</v>
      </c>
      <c r="BD13" s="1250">
        <v>0</v>
      </c>
      <c r="BE13" s="753">
        <v>0</v>
      </c>
      <c r="BF13" s="1223">
        <v>0</v>
      </c>
      <c r="BG13" s="753">
        <v>0</v>
      </c>
      <c r="BH13" s="1219">
        <v>-5.1180000000000003</v>
      </c>
      <c r="BI13" s="1250">
        <v>-0.1</v>
      </c>
      <c r="BJ13" s="1241">
        <v>0.01</v>
      </c>
    </row>
    <row r="14" spans="1:62" x14ac:dyDescent="0.25">
      <c r="A14" s="1228">
        <v>2030</v>
      </c>
      <c r="B14" s="1230">
        <f t="shared" si="1"/>
        <v>0</v>
      </c>
      <c r="C14" s="1230">
        <f t="shared" si="2"/>
        <v>0</v>
      </c>
      <c r="D14" s="1230">
        <f t="shared" si="3"/>
        <v>3.3000000000000002E-2</v>
      </c>
      <c r="E14" s="1230">
        <f t="shared" si="4"/>
        <v>1.8130000000000002</v>
      </c>
      <c r="F14" s="1230">
        <f t="shared" si="11"/>
        <v>0</v>
      </c>
      <c r="G14" s="1230">
        <f t="shared" si="5"/>
        <v>-5.9420000000000002</v>
      </c>
      <c r="H14" s="1230">
        <f t="shared" si="6"/>
        <v>-2.0210000000000004</v>
      </c>
      <c r="I14" s="1230">
        <f t="shared" si="7"/>
        <v>0</v>
      </c>
      <c r="J14" s="1230">
        <f t="shared" si="8"/>
        <v>-1.9E-2</v>
      </c>
      <c r="K14" s="1230">
        <f t="shared" si="9"/>
        <v>0.8</v>
      </c>
      <c r="L14" s="1234"/>
      <c r="M14" s="1230">
        <f t="shared" si="0"/>
        <v>-8.1189999999999998</v>
      </c>
      <c r="N14" s="1230">
        <f t="shared" si="10"/>
        <v>0</v>
      </c>
      <c r="O14" s="1257">
        <v>0.3</v>
      </c>
      <c r="P14" s="1251">
        <v>1.1800000000000002</v>
      </c>
      <c r="Q14" s="1250">
        <v>0</v>
      </c>
      <c r="R14" s="1259">
        <v>0.63300000000000001</v>
      </c>
      <c r="S14" s="1218">
        <v>0</v>
      </c>
      <c r="T14" s="1088">
        <v>3.3000000000000002E-2</v>
      </c>
      <c r="U14" s="1250">
        <v>0</v>
      </c>
      <c r="V14" s="1088">
        <v>0</v>
      </c>
      <c r="W14" s="753">
        <v>0</v>
      </c>
      <c r="X14" s="753">
        <v>0</v>
      </c>
      <c r="Y14" s="1250">
        <v>0</v>
      </c>
      <c r="Z14" s="1250">
        <v>0</v>
      </c>
      <c r="AA14" s="1250">
        <v>0</v>
      </c>
      <c r="AB14" s="1250">
        <v>0</v>
      </c>
      <c r="AC14" s="1088">
        <v>0</v>
      </c>
      <c r="AD14" s="1259">
        <v>0</v>
      </c>
      <c r="AE14" s="1250">
        <v>0</v>
      </c>
      <c r="AF14" s="1088">
        <v>0</v>
      </c>
      <c r="AG14" s="1088">
        <v>-2.1110000000000002</v>
      </c>
      <c r="AH14" s="1088">
        <v>0.09</v>
      </c>
      <c r="AI14" s="1088">
        <v>0</v>
      </c>
      <c r="AJ14" s="1224">
        <v>0</v>
      </c>
      <c r="AK14" s="1250">
        <v>0</v>
      </c>
      <c r="AL14" s="1250">
        <v>-1.9E-2</v>
      </c>
      <c r="AM14" s="1250">
        <v>0</v>
      </c>
      <c r="AN14" s="1250">
        <v>0</v>
      </c>
      <c r="AO14" s="753">
        <v>0</v>
      </c>
      <c r="AP14" s="1250">
        <v>0</v>
      </c>
      <c r="AQ14" s="1261">
        <v>0</v>
      </c>
      <c r="AR14" s="1250">
        <v>0</v>
      </c>
      <c r="AS14" s="1250">
        <v>0</v>
      </c>
      <c r="AT14" s="753">
        <v>0.8</v>
      </c>
      <c r="AU14" s="1088">
        <v>-5.4089999999999998</v>
      </c>
      <c r="AV14" s="1250">
        <v>0</v>
      </c>
      <c r="AW14" s="1250">
        <v>0</v>
      </c>
      <c r="AX14" s="1250">
        <v>0</v>
      </c>
      <c r="AY14" s="753">
        <v>-2.71</v>
      </c>
      <c r="AZ14" s="1250">
        <v>0</v>
      </c>
      <c r="BA14" s="753">
        <v>0</v>
      </c>
      <c r="BB14" s="1250">
        <v>0</v>
      </c>
      <c r="BC14" s="1250">
        <v>0</v>
      </c>
      <c r="BD14" s="1250">
        <v>0</v>
      </c>
      <c r="BE14" s="1250">
        <v>0</v>
      </c>
      <c r="BF14" s="753">
        <v>0</v>
      </c>
      <c r="BG14" s="753">
        <v>0</v>
      </c>
      <c r="BH14" s="1088">
        <v>-5.8319999999999999</v>
      </c>
      <c r="BI14" s="1250">
        <v>-0.11</v>
      </c>
      <c r="BJ14" s="1240">
        <v>0.01</v>
      </c>
    </row>
    <row r="15" spans="1:62" ht="17.25" customHeight="1" x14ac:dyDescent="0.25">
      <c r="A15" s="1228">
        <v>2031</v>
      </c>
      <c r="B15" s="1230">
        <f t="shared" si="1"/>
        <v>0</v>
      </c>
      <c r="C15" s="1230">
        <f t="shared" si="2"/>
        <v>0</v>
      </c>
      <c r="D15" s="1230">
        <f t="shared" si="3"/>
        <v>0</v>
      </c>
      <c r="E15" s="1230">
        <f t="shared" si="4"/>
        <v>1.8230000000000002</v>
      </c>
      <c r="F15" s="1230">
        <f t="shared" si="11"/>
        <v>0</v>
      </c>
      <c r="G15" s="1230">
        <f t="shared" si="5"/>
        <v>-7.7250000000000005</v>
      </c>
      <c r="H15" s="1230">
        <f t="shared" si="6"/>
        <v>-2.4630000000000001</v>
      </c>
      <c r="I15" s="1230">
        <f t="shared" si="7"/>
        <v>0</v>
      </c>
      <c r="J15" s="1230">
        <f t="shared" si="8"/>
        <v>-1.9E-2</v>
      </c>
      <c r="K15" s="1230">
        <f t="shared" si="9"/>
        <v>0</v>
      </c>
      <c r="L15" s="1234"/>
      <c r="M15" s="1230">
        <f t="shared" si="0"/>
        <v>-3.0390000000000001</v>
      </c>
      <c r="N15" s="1230">
        <f t="shared" si="10"/>
        <v>0</v>
      </c>
      <c r="O15" s="1257">
        <v>0.3</v>
      </c>
      <c r="P15" s="1251">
        <v>1.1900000000000002</v>
      </c>
      <c r="Q15" s="1250">
        <v>0</v>
      </c>
      <c r="R15" s="1259">
        <v>0.63300000000000001</v>
      </c>
      <c r="S15" s="1218">
        <v>0</v>
      </c>
      <c r="T15" s="753">
        <v>0</v>
      </c>
      <c r="U15" s="1250">
        <v>0</v>
      </c>
      <c r="V15" s="1250">
        <v>0</v>
      </c>
      <c r="W15" s="753">
        <v>0</v>
      </c>
      <c r="X15" s="753">
        <v>0</v>
      </c>
      <c r="Y15" s="1250">
        <v>0</v>
      </c>
      <c r="Z15" s="1250">
        <v>0</v>
      </c>
      <c r="AA15" s="1250">
        <v>0</v>
      </c>
      <c r="AB15" s="1250">
        <v>0</v>
      </c>
      <c r="AC15" s="1088">
        <v>0</v>
      </c>
      <c r="AD15" s="1250">
        <v>0</v>
      </c>
      <c r="AE15" s="1088">
        <v>0</v>
      </c>
      <c r="AF15" s="1088">
        <v>0</v>
      </c>
      <c r="AG15" s="1088">
        <v>-2.5529999999999999</v>
      </c>
      <c r="AH15" s="1088">
        <v>0.09</v>
      </c>
      <c r="AI15" s="1088">
        <v>0</v>
      </c>
      <c r="AJ15" s="1225">
        <v>0</v>
      </c>
      <c r="AK15" s="1250">
        <v>0</v>
      </c>
      <c r="AL15" s="1250">
        <v>-1.9E-2</v>
      </c>
      <c r="AM15" s="1250">
        <v>0</v>
      </c>
      <c r="AN15" s="1250">
        <v>0</v>
      </c>
      <c r="AO15" s="753">
        <v>0</v>
      </c>
      <c r="AP15" s="1250">
        <v>0</v>
      </c>
      <c r="AQ15" s="1261">
        <v>0</v>
      </c>
      <c r="AR15" s="1250">
        <v>0</v>
      </c>
      <c r="AS15" s="1250">
        <v>0</v>
      </c>
      <c r="AT15" s="753">
        <v>0</v>
      </c>
      <c r="AU15" s="1088">
        <v>-0.26900000000000002</v>
      </c>
      <c r="AV15" s="1250">
        <v>0</v>
      </c>
      <c r="AW15" s="1250">
        <v>0</v>
      </c>
      <c r="AX15" s="1250">
        <v>0</v>
      </c>
      <c r="AY15" s="753">
        <v>-2.77</v>
      </c>
      <c r="AZ15" s="1250">
        <v>0</v>
      </c>
      <c r="BA15" s="753">
        <v>0</v>
      </c>
      <c r="BB15" s="1250">
        <v>0</v>
      </c>
      <c r="BC15" s="1250">
        <v>0</v>
      </c>
      <c r="BD15" s="1250">
        <v>0</v>
      </c>
      <c r="BE15" s="1250">
        <v>0</v>
      </c>
      <c r="BF15" s="753">
        <v>0</v>
      </c>
      <c r="BG15" s="753">
        <v>0</v>
      </c>
      <c r="BH15" s="1088">
        <v>-5.4350000000000005</v>
      </c>
      <c r="BI15" s="1250">
        <v>-2.29</v>
      </c>
      <c r="BJ15" s="1240">
        <v>0</v>
      </c>
    </row>
    <row r="16" spans="1:62" x14ac:dyDescent="0.25">
      <c r="A16" s="1229" t="s">
        <v>312</v>
      </c>
      <c r="B16" s="1229">
        <f>SUM(B5:B15)</f>
        <v>412.15299999999996</v>
      </c>
      <c r="C16" s="1229">
        <f>SUM(C5:C15)</f>
        <v>205.79999999999998</v>
      </c>
      <c r="D16" s="1229">
        <f>SUM(D5:D15)</f>
        <v>22.711000000000006</v>
      </c>
      <c r="E16" s="1229">
        <f t="shared" ref="E16:H16" si="12">SUM(E5:E15)</f>
        <v>35.466000000000015</v>
      </c>
      <c r="F16" s="1229">
        <f t="shared" si="12"/>
        <v>91.563000000000002</v>
      </c>
      <c r="G16" s="1230">
        <f t="shared" si="5"/>
        <v>174.17</v>
      </c>
      <c r="H16" s="1229">
        <f t="shared" si="12"/>
        <v>21.600999999999996</v>
      </c>
      <c r="I16" s="1234">
        <f t="shared" ref="I16" si="13">SUM(I5:I15)</f>
        <v>362.04999999999995</v>
      </c>
      <c r="J16" s="1234">
        <f t="shared" ref="J16" si="14">SUM(J5:J15)</f>
        <v>169.16899999999998</v>
      </c>
      <c r="K16" s="1230">
        <f t="shared" si="9"/>
        <v>112.72</v>
      </c>
      <c r="L16" s="1234">
        <f>SUM(L5:L15)</f>
        <v>25.75</v>
      </c>
      <c r="M16" s="1230">
        <f t="shared" si="0"/>
        <v>85.197999999999993</v>
      </c>
      <c r="N16" s="1230">
        <f>AK16</f>
        <v>8.5</v>
      </c>
      <c r="O16" s="1258">
        <f t="shared" ref="O16:BI16" si="15">SUM(O5:O15)</f>
        <v>109.3</v>
      </c>
      <c r="P16" s="1250">
        <f t="shared" si="15"/>
        <v>25.819999999999997</v>
      </c>
      <c r="Q16" s="1250">
        <f t="shared" si="15"/>
        <v>412.15299999999996</v>
      </c>
      <c r="R16" s="1250">
        <f t="shared" si="15"/>
        <v>5.774</v>
      </c>
      <c r="S16" s="1250">
        <f t="shared" si="15"/>
        <v>3.8719999999999999</v>
      </c>
      <c r="T16" s="1250">
        <f t="shared" si="15"/>
        <v>22.711000000000006</v>
      </c>
      <c r="U16" s="1250">
        <f t="shared" si="15"/>
        <v>41.599999999999994</v>
      </c>
      <c r="V16" s="1250">
        <f t="shared" si="15"/>
        <v>44.947999999999993</v>
      </c>
      <c r="W16" s="1250">
        <f t="shared" si="15"/>
        <v>5</v>
      </c>
      <c r="X16" s="1250">
        <f t="shared" si="15"/>
        <v>1.4440000000000002</v>
      </c>
      <c r="Y16" s="1250">
        <f t="shared" si="15"/>
        <v>0.2</v>
      </c>
      <c r="Z16" s="1250">
        <f t="shared" si="15"/>
        <v>45.4</v>
      </c>
      <c r="AA16" s="1250">
        <f t="shared" si="15"/>
        <v>35.5</v>
      </c>
      <c r="AB16" s="1250">
        <f t="shared" si="15"/>
        <v>124.7</v>
      </c>
      <c r="AC16" s="1250">
        <f t="shared" si="15"/>
        <v>28</v>
      </c>
      <c r="AD16" s="1250">
        <f t="shared" si="15"/>
        <v>9.100000000000022E-2</v>
      </c>
      <c r="AE16" s="1250">
        <f t="shared" si="15"/>
        <v>22.810000000000002</v>
      </c>
      <c r="AF16" s="1250">
        <f t="shared" si="15"/>
        <v>1.42</v>
      </c>
      <c r="AG16" s="1250">
        <f t="shared" si="15"/>
        <v>20.662999999999997</v>
      </c>
      <c r="AH16" s="1250">
        <f t="shared" si="15"/>
        <v>0.86999999999999988</v>
      </c>
      <c r="AI16" s="1250">
        <f t="shared" si="15"/>
        <v>6.8000000000000005E-2</v>
      </c>
      <c r="AJ16" s="1250">
        <f t="shared" si="15"/>
        <v>362.04999999999995</v>
      </c>
      <c r="AK16" s="1250">
        <f t="shared" ref="AK16:AO16" si="16">SUM(AK5:AK15)</f>
        <v>8.5</v>
      </c>
      <c r="AL16" s="1250">
        <f t="shared" si="16"/>
        <v>169.16899999999998</v>
      </c>
      <c r="AM16" s="1232">
        <f t="shared" si="16"/>
        <v>0.79700000000000004</v>
      </c>
      <c r="AN16" s="1250">
        <f t="shared" si="16"/>
        <v>8.6</v>
      </c>
      <c r="AO16" s="1250">
        <f t="shared" si="16"/>
        <v>3.2000000000000006</v>
      </c>
      <c r="AP16" s="1250">
        <f t="shared" si="15"/>
        <v>2.8000000000000003</v>
      </c>
      <c r="AQ16" s="1235">
        <f>SUM(AQ5:AQ15)</f>
        <v>28</v>
      </c>
      <c r="AR16" s="1250">
        <f>SUM(AR5:AR15)</f>
        <v>14.899999999999999</v>
      </c>
      <c r="AS16" s="1250">
        <f>SUM(AS5:AS15)</f>
        <v>3.8730000000000002</v>
      </c>
      <c r="AT16" s="1250">
        <f t="shared" ref="AT16" si="17">SUM(AT5:AT15)</f>
        <v>50.54999999999999</v>
      </c>
      <c r="AU16" s="1250">
        <f t="shared" si="15"/>
        <v>-5.6779999999999999</v>
      </c>
      <c r="AV16" s="1250">
        <f t="shared" si="15"/>
        <v>8.177999999999999</v>
      </c>
      <c r="AW16" s="1250">
        <f t="shared" si="15"/>
        <v>16.667999999999999</v>
      </c>
      <c r="AX16" s="1250">
        <f t="shared" si="15"/>
        <v>9.9</v>
      </c>
      <c r="AY16" s="1250">
        <f t="shared" si="15"/>
        <v>-25.860000000000003</v>
      </c>
      <c r="AZ16" s="1250">
        <f t="shared" si="15"/>
        <v>81.99</v>
      </c>
      <c r="BA16" s="1250">
        <v>0</v>
      </c>
      <c r="BB16" s="1250">
        <f t="shared" si="15"/>
        <v>24</v>
      </c>
      <c r="BC16" s="1250">
        <f t="shared" si="15"/>
        <v>7.25</v>
      </c>
      <c r="BD16" s="1250">
        <f t="shared" si="15"/>
        <v>49.8</v>
      </c>
      <c r="BE16" s="1250">
        <f t="shared" si="15"/>
        <v>9.02</v>
      </c>
      <c r="BF16" s="1250">
        <f t="shared" si="15"/>
        <v>6.2439999999999998</v>
      </c>
      <c r="BG16" s="1250">
        <f t="shared" si="15"/>
        <v>10.218</v>
      </c>
      <c r="BH16" s="1250">
        <f t="shared" si="15"/>
        <v>50.203999999999979</v>
      </c>
      <c r="BI16" s="1250">
        <f t="shared" si="15"/>
        <v>24.684000000000005</v>
      </c>
      <c r="BJ16" s="1242">
        <f>SUM(BJ5:BJ15)</f>
        <v>9.5399999999999991</v>
      </c>
    </row>
    <row r="17" spans="2:61" x14ac:dyDescent="0.25">
      <c r="R17" s="1259"/>
      <c r="S17" s="1259"/>
      <c r="W17" s="1259"/>
      <c r="X17" s="1259"/>
      <c r="AE17" s="1259"/>
      <c r="AF17" s="1259"/>
      <c r="AV17" s="1259"/>
      <c r="AW17" s="1259"/>
      <c r="AX17" s="1259"/>
      <c r="AY17" s="1259"/>
      <c r="AZ17" s="1259"/>
      <c r="BA17" s="1259"/>
      <c r="BC17" s="1259"/>
      <c r="BE17" s="1259"/>
      <c r="BF17" s="1259"/>
      <c r="BG17" s="1259"/>
    </row>
    <row r="18" spans="2:61" x14ac:dyDescent="0.25">
      <c r="R18" s="1259"/>
      <c r="S18" s="1259"/>
      <c r="W18" s="1259"/>
      <c r="X18" s="1259"/>
      <c r="AE18" s="1259"/>
      <c r="AF18" s="1259"/>
      <c r="AV18" s="1259"/>
      <c r="AW18" s="1259"/>
      <c r="AX18" s="1259"/>
      <c r="AY18" s="1259"/>
      <c r="AZ18" s="1259"/>
      <c r="BA18" s="1259"/>
      <c r="BC18" s="1259" t="s">
        <v>727</v>
      </c>
      <c r="BD18" s="1259" t="s">
        <v>727</v>
      </c>
      <c r="BE18" s="1259"/>
      <c r="BF18" s="1259" t="s">
        <v>727</v>
      </c>
      <c r="BG18" s="1259" t="s">
        <v>727</v>
      </c>
      <c r="BI18" s="1259" t="s">
        <v>727</v>
      </c>
    </row>
    <row r="19" spans="2:61" x14ac:dyDescent="0.25">
      <c r="B19" s="993"/>
      <c r="C19" s="993"/>
      <c r="D19" s="993"/>
      <c r="E19" s="993"/>
      <c r="F19" s="993"/>
      <c r="H19" s="993"/>
      <c r="I19" s="993"/>
      <c r="J19" s="993"/>
      <c r="K19" s="993"/>
      <c r="M19" s="993"/>
      <c r="N19" s="993"/>
      <c r="R19" s="1259"/>
      <c r="S19" s="1259"/>
      <c r="W19" s="1259"/>
      <c r="X19" s="1259"/>
      <c r="AE19" s="1259"/>
      <c r="AF19" s="1259"/>
      <c r="AV19" s="1259"/>
      <c r="AW19" s="1259"/>
      <c r="AX19" s="1259"/>
      <c r="AY19" s="1259"/>
      <c r="AZ19" s="1259"/>
      <c r="BA19" s="1259"/>
      <c r="BC19" s="1259"/>
      <c r="BD19" t="s">
        <v>728</v>
      </c>
      <c r="BE19" s="1259"/>
      <c r="BF19" s="1259"/>
      <c r="BG19" s="1259"/>
    </row>
    <row r="20" spans="2:61" x14ac:dyDescent="0.25">
      <c r="R20" s="1259"/>
      <c r="S20" s="1259"/>
      <c r="W20" s="1259"/>
      <c r="X20" s="1259"/>
      <c r="AE20" s="1259"/>
      <c r="AF20" s="1259"/>
      <c r="AV20" s="1259"/>
      <c r="AW20" s="1259"/>
      <c r="AX20" s="1259"/>
      <c r="AY20" s="1259"/>
      <c r="AZ20" s="1259"/>
      <c r="BA20" s="1259"/>
      <c r="BC20" s="1259"/>
      <c r="BE20" s="1259"/>
      <c r="BF20" s="1259"/>
      <c r="BG20" s="1259"/>
    </row>
    <row r="21" spans="2:61" x14ac:dyDescent="0.25">
      <c r="R21" s="1259"/>
      <c r="S21" s="1259"/>
      <c r="W21" s="1259"/>
      <c r="X21" s="1259"/>
      <c r="AE21" s="1259"/>
      <c r="AF21" s="1259"/>
      <c r="AV21" s="1259"/>
      <c r="AW21" s="1259"/>
      <c r="AX21" s="1259"/>
      <c r="AY21" s="1259"/>
      <c r="AZ21" s="1259"/>
      <c r="BA21" s="1259"/>
      <c r="BC21" s="1259"/>
      <c r="BE21" s="1259"/>
      <c r="BF21" s="1259"/>
      <c r="BG21" s="1259"/>
    </row>
    <row r="22" spans="2:61" x14ac:dyDescent="0.25">
      <c r="B22" s="993"/>
      <c r="R22" s="1259"/>
      <c r="S22" s="1259"/>
      <c r="W22" s="1259"/>
      <c r="X22" s="1259"/>
      <c r="AE22" s="1259"/>
      <c r="AF22" s="1259"/>
      <c r="AV22" s="1259"/>
      <c r="AW22" s="1259"/>
      <c r="AX22" s="1259"/>
      <c r="AY22" s="1259"/>
      <c r="AZ22" s="1259"/>
      <c r="BA22" s="1259"/>
      <c r="BC22" s="1259"/>
      <c r="BE22" s="1259"/>
      <c r="BF22" s="1259"/>
      <c r="BG22" s="1259"/>
    </row>
    <row r="23" spans="2:61" x14ac:dyDescent="0.25">
      <c r="B23" s="993"/>
      <c r="R23" s="1259"/>
      <c r="S23" s="1259"/>
      <c r="W23" s="1259"/>
      <c r="X23" s="1259"/>
      <c r="AE23" s="1259"/>
      <c r="AF23" s="1259"/>
      <c r="AV23" s="1259"/>
      <c r="AW23" s="1259"/>
      <c r="AX23" s="1259"/>
      <c r="AY23" s="1259"/>
      <c r="AZ23" s="1259"/>
      <c r="BA23" s="1259"/>
      <c r="BC23" s="1259"/>
      <c r="BE23" s="1259"/>
      <c r="BF23" s="1259"/>
      <c r="BG23" s="1259"/>
    </row>
    <row r="24" spans="2:61" x14ac:dyDescent="0.25">
      <c r="B24" s="993"/>
      <c r="R24" s="1259"/>
      <c r="S24" s="1259"/>
      <c r="W24" s="1259"/>
      <c r="X24" s="1259"/>
      <c r="AE24" s="1259"/>
      <c r="AF24" s="1259"/>
      <c r="AV24" s="1259"/>
      <c r="AW24" s="1259"/>
      <c r="AX24" s="1259"/>
      <c r="AY24" s="1259"/>
      <c r="AZ24" s="1259"/>
      <c r="BA24" s="1259"/>
      <c r="BC24" s="1259"/>
      <c r="BE24" s="1259"/>
      <c r="BF24" s="1259"/>
      <c r="BG24" s="1259"/>
    </row>
    <row r="25" spans="2:61" x14ac:dyDescent="0.25">
      <c r="B25" s="993"/>
      <c r="R25" s="1259"/>
      <c r="S25" s="1259"/>
      <c r="W25" s="1259"/>
      <c r="X25" s="1259"/>
      <c r="AE25" s="1259"/>
      <c r="AF25" s="1259"/>
      <c r="AV25" s="1259"/>
      <c r="AW25" s="1259"/>
      <c r="AX25" s="1259"/>
      <c r="AY25" s="1259"/>
      <c r="AZ25" s="1259"/>
      <c r="BA25" s="1259"/>
      <c r="BC25" s="1259"/>
      <c r="BE25" s="1259"/>
      <c r="BF25" s="1259"/>
      <c r="BG25" s="1259"/>
    </row>
    <row r="26" spans="2:61" x14ac:dyDescent="0.25">
      <c r="B26" s="993"/>
      <c r="R26" s="1259"/>
      <c r="S26" s="1259"/>
      <c r="W26" s="1259"/>
      <c r="X26" s="1259"/>
      <c r="AE26" s="1259"/>
      <c r="AF26" s="1259"/>
      <c r="AV26" s="1259"/>
      <c r="AW26" s="1259"/>
      <c r="AX26" s="1259"/>
      <c r="AY26" s="1259"/>
      <c r="AZ26" s="1259"/>
      <c r="BA26" s="1259"/>
      <c r="BC26" s="1259"/>
      <c r="BE26" s="1259"/>
      <c r="BF26" s="1259"/>
      <c r="BG26" s="1259"/>
    </row>
    <row r="27" spans="2:61" x14ac:dyDescent="0.25">
      <c r="B27" s="993"/>
      <c r="R27" s="1259"/>
      <c r="S27" s="1259"/>
      <c r="W27" s="1259"/>
      <c r="X27" s="1259"/>
      <c r="AE27" s="1259"/>
      <c r="AF27" s="1259"/>
      <c r="AV27" s="1259"/>
      <c r="AW27" s="1259"/>
      <c r="AX27" s="1259"/>
      <c r="AY27" s="1259"/>
      <c r="AZ27" s="1259"/>
      <c r="BA27" s="1259"/>
      <c r="BC27" s="1259"/>
      <c r="BE27" s="1259"/>
      <c r="BF27" s="1259"/>
      <c r="BG27" s="1259"/>
    </row>
    <row r="28" spans="2:61" x14ac:dyDescent="0.25">
      <c r="B28" s="993"/>
      <c r="R28" s="1259"/>
      <c r="S28" s="1259"/>
      <c r="W28" s="1259"/>
      <c r="X28" s="1259"/>
      <c r="AE28" s="1259"/>
      <c r="AF28" s="1259"/>
      <c r="AV28" s="1259"/>
      <c r="AW28" s="1259"/>
      <c r="AX28" s="1259"/>
      <c r="AY28" s="1259"/>
      <c r="AZ28" s="1259"/>
      <c r="BA28" s="1259"/>
      <c r="BC28" s="1259"/>
      <c r="BE28" s="1259"/>
      <c r="BF28" s="1259"/>
      <c r="BG28" s="1259"/>
    </row>
    <row r="29" spans="2:61" x14ac:dyDescent="0.25">
      <c r="R29" s="1259"/>
      <c r="S29" s="1259"/>
      <c r="W29" s="1259"/>
      <c r="X29" s="1259"/>
      <c r="AE29" s="1259"/>
      <c r="AF29" s="1259"/>
      <c r="AV29" s="1259"/>
      <c r="AW29" s="1259"/>
      <c r="AX29" s="1259"/>
      <c r="AY29" s="1259"/>
      <c r="AZ29" s="1259"/>
      <c r="BA29" s="1259"/>
      <c r="BC29" s="1259"/>
      <c r="BE29" s="1259"/>
      <c r="BF29" s="1259"/>
      <c r="BG29" s="1259"/>
    </row>
    <row r="30" spans="2:61" x14ac:dyDescent="0.25">
      <c r="R30" s="1259"/>
      <c r="S30" s="1259"/>
      <c r="W30" s="1259"/>
      <c r="X30" s="1259"/>
      <c r="AE30" s="1259"/>
      <c r="AF30" s="1259"/>
      <c r="AV30" s="1259"/>
      <c r="AW30" s="1259"/>
      <c r="AX30" s="1259"/>
      <c r="AY30" s="1259"/>
      <c r="AZ30" s="1259"/>
      <c r="BA30" s="1259"/>
      <c r="BC30" s="1259"/>
      <c r="BE30" s="1259"/>
      <c r="BF30" s="1259"/>
      <c r="BG30" s="1259"/>
    </row>
    <row r="31" spans="2:61" x14ac:dyDescent="0.25">
      <c r="R31" s="1259"/>
      <c r="S31" s="1259"/>
      <c r="W31" s="1259"/>
      <c r="X31" s="1259"/>
      <c r="AE31" s="1259"/>
      <c r="AF31" s="1259"/>
      <c r="AV31" s="1259"/>
      <c r="AW31" s="1259"/>
      <c r="AX31" s="1259"/>
      <c r="AY31" s="1259"/>
      <c r="AZ31" s="1259"/>
      <c r="BA31" s="1259"/>
      <c r="BC31" s="1259"/>
      <c r="BE31" s="1259"/>
      <c r="BF31" s="1259"/>
      <c r="BG31" s="1259"/>
    </row>
    <row r="32" spans="2:61" x14ac:dyDescent="0.25">
      <c r="R32" s="1259"/>
      <c r="S32" s="1259"/>
      <c r="W32" s="1259"/>
      <c r="X32" s="1259"/>
      <c r="AE32" s="1259"/>
      <c r="AF32" s="1259"/>
      <c r="AV32" s="1259"/>
      <c r="AW32" s="1259"/>
      <c r="AX32" s="1259"/>
      <c r="AY32" s="1259"/>
      <c r="AZ32" s="1259"/>
      <c r="BA32" s="1259"/>
      <c r="BC32" s="1259"/>
      <c r="BE32" s="1259"/>
      <c r="BF32" s="1259"/>
      <c r="BG32" s="1259"/>
    </row>
    <row r="33" spans="18:59" x14ac:dyDescent="0.25">
      <c r="R33" s="1259"/>
      <c r="S33" s="1259"/>
      <c r="W33" s="1259"/>
      <c r="X33" s="1259"/>
      <c r="AE33" s="1259"/>
      <c r="AF33" s="1259"/>
      <c r="AV33" s="1259"/>
      <c r="AW33" s="1259"/>
      <c r="AX33" s="1259"/>
      <c r="AY33" s="1259"/>
      <c r="AZ33" s="1259"/>
      <c r="BA33" s="1259"/>
      <c r="BC33" s="1259"/>
      <c r="BE33" s="1259"/>
      <c r="BF33" s="1259"/>
      <c r="BG33" s="1259"/>
    </row>
    <row r="34" spans="18:59" x14ac:dyDescent="0.25">
      <c r="R34" s="1259"/>
      <c r="S34" s="1259"/>
      <c r="W34" s="1259"/>
      <c r="X34" s="1259"/>
      <c r="AE34" s="1259"/>
      <c r="AF34" s="1259"/>
      <c r="AV34" s="1259"/>
      <c r="AW34" s="1259"/>
      <c r="AX34" s="1259"/>
      <c r="AY34" s="1259"/>
      <c r="AZ34" s="1259"/>
      <c r="BA34" s="1259"/>
      <c r="BC34" s="1259"/>
      <c r="BE34" s="1259"/>
      <c r="BF34" s="1259"/>
      <c r="BG34" s="1259"/>
    </row>
    <row r="35" spans="18:59" x14ac:dyDescent="0.25">
      <c r="R35" s="1259"/>
      <c r="S35" s="1259"/>
      <c r="W35" s="1259"/>
      <c r="X35" s="1259"/>
      <c r="AE35" s="1259"/>
      <c r="AF35" s="1259"/>
      <c r="AV35" s="1259"/>
      <c r="AW35" s="1259"/>
      <c r="AX35" s="1259"/>
      <c r="AY35" s="1259"/>
      <c r="AZ35" s="1259"/>
      <c r="BA35" s="1259"/>
      <c r="BC35" s="1259"/>
      <c r="BE35" s="1259"/>
      <c r="BF35" s="1259"/>
      <c r="BG35" s="1259"/>
    </row>
    <row r="36" spans="18:59" x14ac:dyDescent="0.25">
      <c r="R36" s="1259"/>
      <c r="S36" s="1259"/>
      <c r="W36" s="1259"/>
      <c r="X36" s="1259"/>
      <c r="AE36" s="1259"/>
      <c r="AF36" s="1259"/>
      <c r="AV36" s="1259"/>
      <c r="AW36" s="1259"/>
      <c r="AX36" s="1259"/>
      <c r="AY36" s="1259"/>
      <c r="AZ36" s="1259"/>
      <c r="BA36" s="1259"/>
      <c r="BC36" s="1259"/>
      <c r="BE36" s="1259"/>
      <c r="BF36" s="1259"/>
      <c r="BG36" s="1259"/>
    </row>
    <row r="37" spans="18:59" x14ac:dyDescent="0.25">
      <c r="R37" s="1259"/>
      <c r="S37" s="1259"/>
      <c r="W37" s="1259"/>
      <c r="X37" s="1259"/>
      <c r="AE37" s="1259"/>
      <c r="AF37" s="1259"/>
      <c r="AV37" s="1259"/>
      <c r="AW37" s="1259"/>
      <c r="AX37" s="1259"/>
      <c r="AY37" s="1259"/>
      <c r="AZ37" s="1259"/>
      <c r="BA37" s="1259"/>
      <c r="BC37" s="1259"/>
      <c r="BE37" s="1259"/>
      <c r="BF37" s="1259"/>
      <c r="BG37" s="1259"/>
    </row>
    <row r="38" spans="18:59" x14ac:dyDescent="0.25">
      <c r="R38" s="1259"/>
      <c r="S38" s="1259"/>
      <c r="W38" s="1259"/>
      <c r="X38" s="1259"/>
      <c r="AE38" s="1259"/>
      <c r="AF38" s="1259"/>
      <c r="AV38" s="1259"/>
      <c r="AW38" s="1259"/>
      <c r="AX38" s="1259"/>
      <c r="AY38" s="1259"/>
      <c r="AZ38" s="1259"/>
      <c r="BA38" s="1259"/>
      <c r="BC38" s="1259"/>
      <c r="BE38" s="1259"/>
      <c r="BF38" s="1259"/>
      <c r="BG38" s="1259"/>
    </row>
    <row r="39" spans="18:59" x14ac:dyDescent="0.25">
      <c r="R39" s="1259"/>
      <c r="S39" s="1259"/>
      <c r="W39" s="1259"/>
      <c r="X39" s="1259"/>
      <c r="AE39" s="1259"/>
      <c r="AF39" s="1259"/>
      <c r="AV39" s="1259"/>
      <c r="AW39" s="1259"/>
      <c r="AX39" s="1259"/>
      <c r="AY39" s="1259"/>
      <c r="AZ39" s="1259"/>
      <c r="BA39" s="1259"/>
      <c r="BC39" s="1259"/>
      <c r="BE39" s="1259"/>
      <c r="BF39" s="1259"/>
      <c r="BG39" s="1259"/>
    </row>
    <row r="40" spans="18:59" x14ac:dyDescent="0.25">
      <c r="R40" s="1259"/>
      <c r="S40" s="1259"/>
      <c r="W40" s="1259"/>
      <c r="X40" s="1259"/>
      <c r="AE40" s="1259"/>
      <c r="AF40" s="1259"/>
      <c r="AV40" s="1259"/>
      <c r="AW40" s="1259"/>
      <c r="AX40" s="1259"/>
      <c r="AY40" s="1259"/>
      <c r="AZ40" s="1259"/>
      <c r="BA40" s="1259"/>
      <c r="BC40" s="1259"/>
      <c r="BE40" s="1259"/>
      <c r="BF40" s="1259"/>
      <c r="BG40" s="1259"/>
    </row>
    <row r="41" spans="18:59" x14ac:dyDescent="0.25">
      <c r="R41" s="1259"/>
      <c r="S41" s="1259"/>
      <c r="W41" s="1259"/>
      <c r="X41" s="1259"/>
      <c r="AE41" s="1259"/>
      <c r="AF41" s="1259"/>
      <c r="AV41" s="1259"/>
      <c r="AW41" s="1259"/>
      <c r="AX41" s="1259"/>
      <c r="AY41" s="1259"/>
      <c r="AZ41" s="1259"/>
      <c r="BA41" s="1259"/>
      <c r="BC41" s="1259"/>
      <c r="BE41" s="1259"/>
      <c r="BF41" s="1259"/>
      <c r="BG41" s="1259"/>
    </row>
    <row r="42" spans="18:59" x14ac:dyDescent="0.25">
      <c r="R42" s="1259"/>
      <c r="S42" s="1259"/>
      <c r="W42" s="1259"/>
      <c r="X42" s="1259"/>
      <c r="AE42" s="1259"/>
      <c r="AF42" s="1259"/>
      <c r="AV42" s="1259"/>
      <c r="AW42" s="1259"/>
      <c r="AX42" s="1259"/>
      <c r="AY42" s="1259"/>
      <c r="AZ42" s="1259"/>
      <c r="BA42" s="1259"/>
      <c r="BC42" s="1259"/>
      <c r="BE42" s="1259"/>
      <c r="BF42" s="1259"/>
      <c r="BG42" s="1259"/>
    </row>
    <row r="43" spans="18:59" x14ac:dyDescent="0.25">
      <c r="R43" s="1259"/>
      <c r="S43" s="1259"/>
      <c r="W43" s="1259"/>
      <c r="X43" s="1259"/>
      <c r="AE43" s="1259"/>
      <c r="AF43" s="1259"/>
      <c r="AV43" s="1259"/>
      <c r="AW43" s="1259"/>
      <c r="AX43" s="1259"/>
      <c r="AY43" s="1259"/>
      <c r="AZ43" s="1259"/>
      <c r="BA43" s="1259"/>
      <c r="BC43" s="1259"/>
      <c r="BE43" s="1259"/>
      <c r="BF43" s="1259"/>
      <c r="BG43" s="1259"/>
    </row>
    <row r="44" spans="18:59" x14ac:dyDescent="0.25">
      <c r="R44" s="1259"/>
      <c r="S44" s="1259"/>
      <c r="W44" s="1259"/>
      <c r="X44" s="1259"/>
      <c r="AE44" s="1259"/>
      <c r="AF44" s="1259"/>
      <c r="AV44" s="1259"/>
      <c r="AW44" s="1259"/>
      <c r="AX44" s="1259"/>
      <c r="AY44" s="1259"/>
      <c r="AZ44" s="1259"/>
      <c r="BA44" s="1259"/>
      <c r="BC44" s="1259"/>
      <c r="BE44" s="1259"/>
      <c r="BF44" s="1259"/>
      <c r="BG44" s="1259"/>
    </row>
    <row r="45" spans="18:59" x14ac:dyDescent="0.25">
      <c r="R45" s="1259"/>
      <c r="S45" s="1259"/>
      <c r="W45" s="1259"/>
      <c r="X45" s="1259"/>
      <c r="AE45" s="1259"/>
      <c r="AF45" s="1259"/>
      <c r="AV45" s="1259"/>
      <c r="AW45" s="1259"/>
      <c r="AX45" s="1259"/>
      <c r="AY45" s="1259"/>
      <c r="AZ45" s="1259"/>
      <c r="BA45" s="1259"/>
      <c r="BC45" s="1259"/>
      <c r="BE45" s="1259"/>
      <c r="BF45" s="1259"/>
      <c r="BG45" s="1259"/>
    </row>
    <row r="46" spans="18:59" x14ac:dyDescent="0.25">
      <c r="R46" s="1259"/>
      <c r="S46" s="1259"/>
      <c r="W46" s="1259"/>
      <c r="X46" s="1259"/>
      <c r="AE46" s="1259"/>
      <c r="AF46" s="1259"/>
      <c r="AV46" s="1259"/>
      <c r="AW46" s="1259"/>
      <c r="AX46" s="1259"/>
      <c r="AY46" s="1259"/>
      <c r="AZ46" s="1259"/>
      <c r="BA46" s="1259"/>
      <c r="BC46" s="1259"/>
      <c r="BE46" s="1259"/>
      <c r="BF46" s="1259"/>
      <c r="BG46" s="1259"/>
    </row>
    <row r="47" spans="18:59" x14ac:dyDescent="0.25">
      <c r="R47" s="1259"/>
      <c r="S47" s="1259"/>
      <c r="W47" s="1259"/>
      <c r="X47" s="1259"/>
      <c r="AE47" s="1259"/>
      <c r="AF47" s="1259"/>
      <c r="AV47" s="1259"/>
      <c r="AW47" s="1259"/>
      <c r="AX47" s="1259"/>
      <c r="AY47" s="1259"/>
      <c r="AZ47" s="1259"/>
      <c r="BA47" s="1259"/>
      <c r="BC47" s="1259"/>
      <c r="BE47" s="1259"/>
      <c r="BF47" s="1259"/>
      <c r="BG47" s="1259"/>
    </row>
    <row r="48" spans="18:59" x14ac:dyDescent="0.25">
      <c r="R48" s="1259"/>
      <c r="S48" s="1259"/>
      <c r="W48" s="1259"/>
      <c r="X48" s="1259"/>
      <c r="AE48" s="1259"/>
      <c r="AF48" s="1259"/>
      <c r="AV48" s="1259"/>
      <c r="AW48" s="1259"/>
      <c r="AX48" s="1259"/>
      <c r="AY48" s="1259"/>
      <c r="AZ48" s="1259"/>
      <c r="BA48" s="1259"/>
      <c r="BC48" s="1259"/>
      <c r="BE48" s="1259"/>
      <c r="BF48" s="1259"/>
      <c r="BG48" s="1259"/>
    </row>
    <row r="49" spans="18:59" x14ac:dyDescent="0.25">
      <c r="R49" s="1259"/>
      <c r="S49" s="1259"/>
      <c r="W49" s="1259"/>
      <c r="X49" s="1259"/>
      <c r="AE49" s="1259"/>
      <c r="AF49" s="1259"/>
      <c r="AV49" s="1259"/>
      <c r="AW49" s="1259"/>
      <c r="AX49" s="1259"/>
      <c r="AY49" s="1259"/>
      <c r="AZ49" s="1259"/>
      <c r="BA49" s="1259"/>
      <c r="BC49" s="1259"/>
      <c r="BE49" s="1259"/>
      <c r="BF49" s="1259"/>
      <c r="BG49" s="1259"/>
    </row>
    <row r="50" spans="18:59" x14ac:dyDescent="0.25">
      <c r="R50" s="1259"/>
      <c r="S50" s="1259"/>
      <c r="W50" s="1259"/>
      <c r="X50" s="1259"/>
      <c r="AE50" s="1259"/>
      <c r="AF50" s="1259"/>
      <c r="AV50" s="1259"/>
      <c r="AW50" s="1259"/>
      <c r="AX50" s="1259"/>
      <c r="AY50" s="1259"/>
      <c r="AZ50" s="1259"/>
      <c r="BA50" s="1259"/>
      <c r="BC50" s="1259"/>
      <c r="BE50" s="1259"/>
      <c r="BF50" s="1259"/>
      <c r="BG50" s="1259"/>
    </row>
    <row r="51" spans="18:59" x14ac:dyDescent="0.25">
      <c r="R51" s="1259"/>
      <c r="S51" s="1259"/>
      <c r="W51" s="1259"/>
      <c r="X51" s="1259"/>
      <c r="AE51" s="1259"/>
      <c r="AF51" s="1259"/>
      <c r="AV51" s="1259"/>
      <c r="AW51" s="1259"/>
      <c r="AX51" s="1259"/>
      <c r="AY51" s="1259"/>
      <c r="AZ51" s="1259"/>
      <c r="BA51" s="1259"/>
      <c r="BC51" s="1259"/>
      <c r="BE51" s="1259"/>
      <c r="BF51" s="1259"/>
      <c r="BG51" s="1259"/>
    </row>
    <row r="52" spans="18:59" x14ac:dyDescent="0.25">
      <c r="R52" s="1259"/>
      <c r="S52" s="1259"/>
      <c r="W52" s="1259"/>
      <c r="X52" s="1259"/>
      <c r="AE52" s="1259"/>
      <c r="AF52" s="1259"/>
      <c r="AV52" s="1259"/>
      <c r="AW52" s="1259"/>
      <c r="AX52" s="1259"/>
      <c r="AY52" s="1259"/>
      <c r="AZ52" s="1259"/>
      <c r="BA52" s="1259"/>
      <c r="BC52" s="1259"/>
      <c r="BE52" s="1259"/>
      <c r="BF52" s="1259"/>
      <c r="BG52" s="1259"/>
    </row>
    <row r="53" spans="18:59" x14ac:dyDescent="0.25">
      <c r="R53" s="1259"/>
      <c r="S53" s="1259"/>
      <c r="W53" s="1259"/>
      <c r="X53" s="1259"/>
      <c r="AE53" s="1259"/>
      <c r="AF53" s="1259"/>
      <c r="AV53" s="1259"/>
      <c r="AW53" s="1259"/>
      <c r="AX53" s="1259"/>
      <c r="AY53" s="1259"/>
      <c r="AZ53" s="1259"/>
      <c r="BA53" s="1259"/>
      <c r="BC53" s="1259"/>
      <c r="BE53" s="1259"/>
      <c r="BF53" s="1259"/>
      <c r="BG53" s="1259"/>
    </row>
    <row r="54" spans="18:59" x14ac:dyDescent="0.25">
      <c r="R54" s="1259"/>
      <c r="S54" s="1259"/>
      <c r="W54" s="1259"/>
      <c r="X54" s="1259"/>
      <c r="AE54" s="1259"/>
      <c r="AF54" s="1259"/>
      <c r="AV54" s="1259"/>
      <c r="AW54" s="1259"/>
      <c r="AX54" s="1259"/>
      <c r="AY54" s="1259"/>
      <c r="AZ54" s="1259"/>
      <c r="BA54" s="1259"/>
      <c r="BC54" s="1259"/>
      <c r="BE54" s="1259"/>
      <c r="BF54" s="1259"/>
      <c r="BG54" s="1259"/>
    </row>
    <row r="55" spans="18:59" x14ac:dyDescent="0.25">
      <c r="R55" s="1259"/>
      <c r="S55" s="1259"/>
      <c r="W55" s="1259"/>
      <c r="X55" s="1259"/>
      <c r="AE55" s="1259"/>
      <c r="AF55" s="1259"/>
      <c r="AV55" s="1259"/>
      <c r="AW55" s="1259"/>
      <c r="AX55" s="1259"/>
      <c r="AY55" s="1259"/>
      <c r="AZ55" s="1259"/>
      <c r="BA55" s="1259"/>
      <c r="BC55" s="1259"/>
      <c r="BE55" s="1259"/>
      <c r="BF55" s="1259"/>
      <c r="BG55" s="1259"/>
    </row>
    <row r="56" spans="18:59" x14ac:dyDescent="0.25">
      <c r="R56" s="1259"/>
      <c r="S56" s="1259"/>
      <c r="W56" s="1259"/>
      <c r="X56" s="1259"/>
      <c r="AE56" s="1259"/>
      <c r="AF56" s="1259"/>
      <c r="AV56" s="1259"/>
      <c r="AW56" s="1259"/>
      <c r="AX56" s="1259"/>
      <c r="AY56" s="1259"/>
      <c r="AZ56" s="1259"/>
      <c r="BA56" s="1259"/>
      <c r="BC56" s="1259"/>
      <c r="BE56" s="1259"/>
      <c r="BF56" s="1259"/>
      <c r="BG56" s="1259"/>
    </row>
    <row r="57" spans="18:59" x14ac:dyDescent="0.25">
      <c r="R57" s="1259"/>
      <c r="S57" s="1259"/>
      <c r="W57" s="1259"/>
      <c r="X57" s="1259"/>
      <c r="AE57" s="1259"/>
      <c r="AF57" s="1259"/>
      <c r="AV57" s="1259"/>
      <c r="AW57" s="1259"/>
      <c r="AX57" s="1259"/>
      <c r="AY57" s="1259"/>
      <c r="AZ57" s="1259"/>
      <c r="BA57" s="1259"/>
      <c r="BC57" s="1259"/>
      <c r="BE57" s="1259"/>
      <c r="BF57" s="1259"/>
      <c r="BG57" s="1259"/>
    </row>
    <row r="58" spans="18:59" x14ac:dyDescent="0.25">
      <c r="R58" s="1259"/>
      <c r="S58" s="1259"/>
      <c r="W58" s="1259"/>
      <c r="X58" s="1259"/>
      <c r="AE58" s="1259"/>
      <c r="AF58" s="1259"/>
      <c r="AV58" s="1259"/>
      <c r="AW58" s="1259"/>
      <c r="AX58" s="1259"/>
      <c r="AY58" s="1259"/>
      <c r="AZ58" s="1259"/>
      <c r="BA58" s="1259"/>
      <c r="BC58" s="1259"/>
      <c r="BE58" s="1259"/>
      <c r="BF58" s="1259"/>
      <c r="BG58" s="1259"/>
    </row>
    <row r="59" spans="18:59" x14ac:dyDescent="0.25">
      <c r="R59" s="1259"/>
      <c r="S59" s="1259"/>
      <c r="W59" s="1259"/>
      <c r="X59" s="1259"/>
      <c r="AE59" s="1259"/>
      <c r="AF59" s="1259"/>
      <c r="AV59" s="1259"/>
      <c r="AW59" s="1259"/>
      <c r="AX59" s="1259"/>
      <c r="AY59" s="1259"/>
      <c r="AZ59" s="1259"/>
      <c r="BA59" s="1259"/>
      <c r="BC59" s="1259"/>
      <c r="BE59" s="1259"/>
      <c r="BF59" s="1259"/>
      <c r="BG59" s="1259"/>
    </row>
    <row r="60" spans="18:59" x14ac:dyDescent="0.25">
      <c r="R60" s="1259"/>
      <c r="S60" s="1259"/>
      <c r="W60" s="1259"/>
      <c r="X60" s="1259"/>
      <c r="AE60" s="1259"/>
      <c r="AF60" s="1259"/>
      <c r="AV60" s="1259"/>
      <c r="AW60" s="1259"/>
      <c r="AX60" s="1259"/>
      <c r="AY60" s="1259"/>
      <c r="AZ60" s="1259"/>
      <c r="BA60" s="1259"/>
      <c r="BC60" s="1259"/>
      <c r="BE60" s="1259"/>
      <c r="BF60" s="1259"/>
      <c r="BG60" s="1259"/>
    </row>
    <row r="61" spans="18:59" x14ac:dyDescent="0.25">
      <c r="R61" s="1259"/>
      <c r="S61" s="1259"/>
      <c r="W61" s="1259"/>
      <c r="X61" s="1259"/>
      <c r="AE61" s="1259"/>
      <c r="AF61" s="1259"/>
      <c r="AV61" s="1259"/>
      <c r="AW61" s="1259"/>
      <c r="AX61" s="1259"/>
      <c r="AY61" s="1259"/>
      <c r="AZ61" s="1259"/>
      <c r="BA61" s="1259"/>
      <c r="BC61" s="1259"/>
      <c r="BE61" s="1259"/>
      <c r="BF61" s="1259"/>
      <c r="BG61" s="1259"/>
    </row>
    <row r="62" spans="18:59" x14ac:dyDescent="0.25">
      <c r="R62" s="1259"/>
      <c r="S62" s="1259"/>
      <c r="W62" s="1259"/>
      <c r="X62" s="1259"/>
      <c r="AE62" s="1259"/>
      <c r="AF62" s="1259"/>
      <c r="AV62" s="1259"/>
      <c r="AW62" s="1259"/>
      <c r="AX62" s="1259"/>
      <c r="AY62" s="1259"/>
      <c r="AZ62" s="1259"/>
      <c r="BA62" s="1259"/>
      <c r="BC62" s="1259"/>
      <c r="BE62" s="1259"/>
      <c r="BF62" s="1259"/>
      <c r="BG62" s="1259"/>
    </row>
    <row r="63" spans="18:59" x14ac:dyDescent="0.25">
      <c r="R63" s="1259"/>
      <c r="S63" s="1259"/>
      <c r="W63" s="1259"/>
      <c r="X63" s="1259"/>
      <c r="AE63" s="1259"/>
      <c r="AF63" s="1259"/>
      <c r="AV63" s="1259"/>
      <c r="AW63" s="1259"/>
      <c r="AX63" s="1259"/>
      <c r="AY63" s="1259"/>
      <c r="AZ63" s="1259"/>
      <c r="BA63" s="1259"/>
      <c r="BC63" s="1259"/>
      <c r="BE63" s="1259"/>
      <c r="BF63" s="1259"/>
      <c r="BG63" s="1259"/>
    </row>
    <row r="64" spans="18:59" x14ac:dyDescent="0.25">
      <c r="R64" s="1259"/>
      <c r="S64" s="1259"/>
      <c r="W64" s="1259"/>
      <c r="X64" s="1259"/>
      <c r="AE64" s="1259"/>
      <c r="AF64" s="1259"/>
      <c r="AV64" s="1259"/>
      <c r="AW64" s="1259"/>
      <c r="AX64" s="1259"/>
      <c r="AY64" s="1259"/>
      <c r="AZ64" s="1259"/>
      <c r="BA64" s="1259"/>
      <c r="BC64" s="1259"/>
      <c r="BE64" s="1259"/>
      <c r="BF64" s="1259"/>
      <c r="BG64" s="1259"/>
    </row>
    <row r="65" spans="18:59" x14ac:dyDescent="0.25">
      <c r="R65" s="1259"/>
      <c r="S65" s="1259"/>
      <c r="W65" s="1259"/>
      <c r="X65" s="1259"/>
      <c r="AE65" s="1259"/>
      <c r="AF65" s="1259"/>
      <c r="AV65" s="1259"/>
      <c r="AW65" s="1259"/>
      <c r="AX65" s="1259"/>
      <c r="AY65" s="1259"/>
      <c r="AZ65" s="1259"/>
      <c r="BA65" s="1259"/>
      <c r="BC65" s="1259"/>
      <c r="BE65" s="1259"/>
      <c r="BF65" s="1259"/>
      <c r="BG65" s="1259"/>
    </row>
    <row r="66" spans="18:59" x14ac:dyDescent="0.25">
      <c r="R66" s="1259"/>
      <c r="S66" s="1259"/>
      <c r="W66" s="1259"/>
      <c r="X66" s="1259"/>
      <c r="AE66" s="1259"/>
      <c r="AF66" s="1259"/>
      <c r="AV66" s="1259"/>
      <c r="AW66" s="1259"/>
      <c r="AX66" s="1259"/>
      <c r="AY66" s="1259"/>
      <c r="AZ66" s="1259"/>
      <c r="BA66" s="1259"/>
      <c r="BC66" s="1259"/>
      <c r="BE66" s="1259"/>
      <c r="BF66" s="1259"/>
      <c r="BG66" s="1259"/>
    </row>
    <row r="67" spans="18:59" x14ac:dyDescent="0.25">
      <c r="R67" s="1259"/>
      <c r="S67" s="1259"/>
      <c r="W67" s="1259"/>
      <c r="X67" s="1259"/>
      <c r="AE67" s="1259"/>
      <c r="AF67" s="1259"/>
      <c r="AV67" s="1259"/>
      <c r="AW67" s="1259"/>
      <c r="AX67" s="1259"/>
      <c r="AY67" s="1259"/>
      <c r="AZ67" s="1259"/>
      <c r="BA67" s="1259"/>
      <c r="BC67" s="1259"/>
      <c r="BE67" s="1259"/>
      <c r="BF67" s="1259"/>
      <c r="BG67" s="1259"/>
    </row>
    <row r="68" spans="18:59" x14ac:dyDescent="0.25">
      <c r="R68" s="1259"/>
      <c r="S68" s="1259"/>
      <c r="W68" s="1259"/>
      <c r="X68" s="1259"/>
      <c r="AE68" s="1259"/>
      <c r="AF68" s="1259"/>
      <c r="AV68" s="1259"/>
      <c r="AW68" s="1259"/>
      <c r="AX68" s="1259"/>
      <c r="AY68" s="1259"/>
      <c r="AZ68" s="1259"/>
      <c r="BA68" s="1259"/>
      <c r="BC68" s="1259"/>
      <c r="BE68" s="1259"/>
      <c r="BF68" s="1259"/>
      <c r="BG68" s="1259"/>
    </row>
    <row r="69" spans="18:59" x14ac:dyDescent="0.25">
      <c r="R69" s="1259"/>
      <c r="S69" s="1259"/>
      <c r="W69" s="1259"/>
      <c r="X69" s="1259"/>
      <c r="AE69" s="1259"/>
      <c r="AF69" s="1259"/>
      <c r="AV69" s="1259"/>
      <c r="AW69" s="1259"/>
      <c r="AX69" s="1259"/>
      <c r="AY69" s="1259"/>
      <c r="AZ69" s="1259"/>
      <c r="BA69" s="1259"/>
      <c r="BC69" s="1259"/>
      <c r="BE69" s="1259"/>
      <c r="BF69" s="1259"/>
      <c r="BG69" s="1259"/>
    </row>
    <row r="70" spans="18:59" x14ac:dyDescent="0.25">
      <c r="R70" s="1259"/>
      <c r="S70" s="1259"/>
      <c r="W70" s="1259"/>
      <c r="X70" s="1259"/>
      <c r="AE70" s="1259"/>
      <c r="AF70" s="1259"/>
      <c r="AV70" s="1259"/>
      <c r="AW70" s="1259"/>
      <c r="AX70" s="1259"/>
      <c r="AY70" s="1259"/>
      <c r="AZ70" s="1259"/>
      <c r="BA70" s="1259"/>
      <c r="BC70" s="1259"/>
      <c r="BE70" s="1259"/>
      <c r="BF70" s="1259"/>
      <c r="BG70" s="1259"/>
    </row>
    <row r="71" spans="18:59" x14ac:dyDescent="0.25">
      <c r="R71" s="1259"/>
      <c r="S71" s="1259"/>
      <c r="W71" s="1259"/>
      <c r="X71" s="1259"/>
      <c r="AE71" s="1259"/>
      <c r="AF71" s="1259"/>
      <c r="AV71" s="1259"/>
      <c r="AW71" s="1259"/>
      <c r="AX71" s="1259"/>
      <c r="AY71" s="1259"/>
      <c r="AZ71" s="1259"/>
      <c r="BA71" s="1259"/>
      <c r="BC71" s="1259"/>
      <c r="BE71" s="1259"/>
      <c r="BF71" s="1259"/>
      <c r="BG71" s="1259"/>
    </row>
    <row r="72" spans="18:59" x14ac:dyDescent="0.25">
      <c r="R72" s="1259"/>
      <c r="S72" s="1259"/>
      <c r="W72" s="1259"/>
      <c r="X72" s="1259"/>
      <c r="AE72" s="1259"/>
      <c r="AF72" s="1259"/>
      <c r="AV72" s="1259"/>
      <c r="AW72" s="1259"/>
      <c r="AX72" s="1259"/>
      <c r="AY72" s="1259"/>
      <c r="AZ72" s="1259"/>
      <c r="BA72" s="1259"/>
      <c r="BC72" s="1259"/>
      <c r="BE72" s="1259"/>
      <c r="BF72" s="1259"/>
      <c r="BG72" s="1259"/>
    </row>
    <row r="73" spans="18:59" x14ac:dyDescent="0.25">
      <c r="R73" s="1259"/>
      <c r="S73" s="1259"/>
      <c r="W73" s="1259"/>
      <c r="X73" s="1259"/>
      <c r="AE73" s="1259"/>
      <c r="AF73" s="1259"/>
      <c r="AV73" s="1259"/>
      <c r="AW73" s="1259"/>
      <c r="AX73" s="1259"/>
      <c r="AY73" s="1259"/>
      <c r="AZ73" s="1259"/>
      <c r="BA73" s="1259"/>
      <c r="BC73" s="1259"/>
      <c r="BE73" s="1259"/>
      <c r="BF73" s="1259"/>
      <c r="BG73" s="1259"/>
    </row>
    <row r="74" spans="18:59" x14ac:dyDescent="0.25">
      <c r="R74" s="1259"/>
      <c r="S74" s="1259"/>
      <c r="W74" s="1259"/>
      <c r="X74" s="1259"/>
      <c r="AE74" s="1259"/>
      <c r="AF74" s="1259"/>
      <c r="AV74" s="1259"/>
      <c r="AW74" s="1259"/>
      <c r="AX74" s="1259"/>
      <c r="AY74" s="1259"/>
      <c r="AZ74" s="1259"/>
      <c r="BA74" s="1259"/>
      <c r="BC74" s="1259"/>
      <c r="BE74" s="1259"/>
      <c r="BF74" s="1259"/>
      <c r="BG74" s="1259"/>
    </row>
    <row r="75" spans="18:59" x14ac:dyDescent="0.25">
      <c r="R75" s="1259"/>
      <c r="S75" s="1259"/>
      <c r="W75" s="1259"/>
      <c r="X75" s="1259"/>
      <c r="AE75" s="1259"/>
      <c r="AF75" s="1259"/>
      <c r="AV75" s="1259"/>
      <c r="AW75" s="1259"/>
      <c r="AX75" s="1259"/>
      <c r="AY75" s="1259"/>
      <c r="AZ75" s="1259"/>
      <c r="BA75" s="1259"/>
      <c r="BC75" s="1259"/>
      <c r="BE75" s="1259"/>
      <c r="BF75" s="1259"/>
      <c r="BG75" s="1259"/>
    </row>
    <row r="76" spans="18:59" x14ac:dyDescent="0.25">
      <c r="R76" s="1259"/>
      <c r="S76" s="1259"/>
      <c r="W76" s="1259"/>
      <c r="X76" s="1259"/>
      <c r="AE76" s="1259"/>
      <c r="AF76" s="1259"/>
      <c r="AV76" s="1259"/>
      <c r="AW76" s="1259"/>
      <c r="AX76" s="1259"/>
      <c r="AY76" s="1259"/>
      <c r="AZ76" s="1259"/>
      <c r="BA76" s="1259"/>
      <c r="BC76" s="1259"/>
      <c r="BE76" s="1259"/>
      <c r="BF76" s="1259"/>
      <c r="BG76" s="1259"/>
    </row>
    <row r="77" spans="18:59" x14ac:dyDescent="0.25">
      <c r="R77" s="1259"/>
      <c r="S77" s="1259"/>
      <c r="W77" s="1259"/>
      <c r="X77" s="1259"/>
      <c r="AE77" s="1259"/>
      <c r="AF77" s="1259"/>
      <c r="AV77" s="1259"/>
      <c r="AW77" s="1259"/>
      <c r="AX77" s="1259"/>
      <c r="AY77" s="1259"/>
      <c r="AZ77" s="1259"/>
      <c r="BA77" s="1259"/>
      <c r="BC77" s="1259"/>
      <c r="BE77" s="1259"/>
      <c r="BF77" s="1259"/>
      <c r="BG77" s="1259"/>
    </row>
    <row r="78" spans="18:59" x14ac:dyDescent="0.25">
      <c r="R78" s="1259"/>
      <c r="S78" s="1259"/>
      <c r="W78" s="1259"/>
      <c r="X78" s="1259"/>
      <c r="AE78" s="1259"/>
      <c r="AF78" s="1259"/>
      <c r="AV78" s="1259"/>
      <c r="AW78" s="1259"/>
      <c r="AX78" s="1259"/>
      <c r="AY78" s="1259"/>
      <c r="AZ78" s="1259"/>
      <c r="BA78" s="1259"/>
      <c r="BC78" s="1259"/>
      <c r="BE78" s="1259"/>
      <c r="BF78" s="1259"/>
      <c r="BG78" s="1259"/>
    </row>
    <row r="79" spans="18:59" x14ac:dyDescent="0.25">
      <c r="R79" s="1259"/>
      <c r="S79" s="1259"/>
      <c r="W79" s="1259"/>
      <c r="X79" s="1259"/>
      <c r="AE79" s="1259"/>
      <c r="AF79" s="1259"/>
      <c r="AV79" s="1259"/>
      <c r="AW79" s="1259"/>
      <c r="AX79" s="1259"/>
      <c r="AY79" s="1259"/>
      <c r="AZ79" s="1259"/>
      <c r="BA79" s="1259"/>
      <c r="BC79" s="1259"/>
      <c r="BE79" s="1259"/>
      <c r="BF79" s="1259"/>
      <c r="BG79" s="1259"/>
    </row>
    <row r="80" spans="18:59" x14ac:dyDescent="0.25">
      <c r="R80" s="1259"/>
      <c r="S80" s="1259"/>
      <c r="W80" s="1259"/>
      <c r="X80" s="1259"/>
      <c r="AE80" s="1259"/>
      <c r="AF80" s="1259"/>
      <c r="AV80" s="1259"/>
      <c r="AW80" s="1259"/>
      <c r="AX80" s="1259"/>
      <c r="AY80" s="1259"/>
      <c r="AZ80" s="1259"/>
      <c r="BA80" s="1259"/>
      <c r="BC80" s="1259"/>
      <c r="BE80" s="1259"/>
      <c r="BF80" s="1259"/>
      <c r="BG80" s="1259"/>
    </row>
    <row r="81" spans="18:59" x14ac:dyDescent="0.25">
      <c r="R81" s="1259"/>
      <c r="S81" s="1259"/>
      <c r="W81" s="1259"/>
      <c r="X81" s="1259"/>
      <c r="AE81" s="1259"/>
      <c r="AF81" s="1259"/>
      <c r="AV81" s="1259"/>
      <c r="AW81" s="1259"/>
      <c r="AX81" s="1259"/>
      <c r="AY81" s="1259"/>
      <c r="AZ81" s="1259"/>
      <c r="BA81" s="1259"/>
      <c r="BC81" s="1259"/>
      <c r="BE81" s="1259"/>
      <c r="BF81" s="1259"/>
      <c r="BG81" s="1259"/>
    </row>
    <row r="82" spans="18:59" x14ac:dyDescent="0.25">
      <c r="R82" s="1259"/>
      <c r="S82" s="1259"/>
      <c r="W82" s="1259"/>
      <c r="X82" s="1259"/>
      <c r="AE82" s="1259"/>
      <c r="AF82" s="1259"/>
      <c r="AV82" s="1259"/>
      <c r="AW82" s="1259"/>
      <c r="AX82" s="1259"/>
      <c r="AY82" s="1259"/>
      <c r="AZ82" s="1259"/>
      <c r="BA82" s="1259"/>
      <c r="BC82" s="1259"/>
      <c r="BE82" s="1259"/>
      <c r="BF82" s="1259"/>
      <c r="BG82" s="1259"/>
    </row>
    <row r="83" spans="18:59" x14ac:dyDescent="0.25">
      <c r="R83" s="1259"/>
      <c r="S83" s="1259"/>
      <c r="W83" s="1259"/>
      <c r="X83" s="1259"/>
      <c r="AE83" s="1259"/>
      <c r="AF83" s="1259"/>
      <c r="AV83" s="1259"/>
      <c r="AW83" s="1259"/>
      <c r="AX83" s="1259"/>
      <c r="AY83" s="1259"/>
      <c r="AZ83" s="1259"/>
      <c r="BA83" s="1259"/>
      <c r="BC83" s="1259"/>
      <c r="BE83" s="1259"/>
      <c r="BF83" s="1259"/>
      <c r="BG83" s="1259"/>
    </row>
    <row r="84" spans="18:59" x14ac:dyDescent="0.25">
      <c r="R84" s="1259"/>
      <c r="S84" s="1259"/>
      <c r="W84" s="1259"/>
      <c r="X84" s="1259"/>
      <c r="AE84" s="1259"/>
      <c r="AF84" s="1259"/>
      <c r="AV84" s="1259"/>
      <c r="AW84" s="1259"/>
      <c r="AX84" s="1259"/>
      <c r="AY84" s="1259"/>
      <c r="AZ84" s="1259"/>
      <c r="BA84" s="1259"/>
      <c r="BC84" s="1259"/>
      <c r="BE84" s="1259"/>
      <c r="BF84" s="1259"/>
      <c r="BG84" s="1259"/>
    </row>
    <row r="85" spans="18:59" x14ac:dyDescent="0.25">
      <c r="R85" s="1259"/>
      <c r="S85" s="1259"/>
      <c r="W85" s="1259"/>
      <c r="X85" s="1259"/>
      <c r="AE85" s="1259"/>
      <c r="AF85" s="1259"/>
      <c r="AV85" s="1259"/>
      <c r="AW85" s="1259"/>
      <c r="AX85" s="1259"/>
      <c r="AY85" s="1259"/>
      <c r="AZ85" s="1259"/>
      <c r="BA85" s="1259"/>
      <c r="BC85" s="1259"/>
      <c r="BE85" s="1259"/>
      <c r="BF85" s="1259"/>
      <c r="BG85" s="1259"/>
    </row>
    <row r="86" spans="18:59" x14ac:dyDescent="0.25">
      <c r="R86" s="1259"/>
      <c r="S86" s="1259"/>
      <c r="W86" s="1259"/>
      <c r="X86" s="1259"/>
      <c r="AE86" s="1259"/>
      <c r="AF86" s="1259"/>
      <c r="AV86" s="1259"/>
      <c r="AW86" s="1259"/>
      <c r="AX86" s="1259"/>
      <c r="AY86" s="1259"/>
      <c r="AZ86" s="1259"/>
      <c r="BA86" s="1259"/>
      <c r="BC86" s="1259"/>
      <c r="BE86" s="1259"/>
      <c r="BF86" s="1259"/>
      <c r="BG86" s="1259"/>
    </row>
    <row r="87" spans="18:59" x14ac:dyDescent="0.25">
      <c r="R87" s="1259"/>
      <c r="S87" s="1259"/>
      <c r="W87" s="1259"/>
      <c r="X87" s="1259"/>
      <c r="AE87" s="1259"/>
      <c r="AF87" s="1259"/>
      <c r="AV87" s="1259"/>
      <c r="AW87" s="1259"/>
      <c r="AX87" s="1259"/>
      <c r="AY87" s="1259"/>
      <c r="AZ87" s="1259"/>
      <c r="BA87" s="1259"/>
      <c r="BC87" s="1259"/>
      <c r="BE87" s="1259"/>
      <c r="BF87" s="1259"/>
      <c r="BG87" s="1259"/>
    </row>
    <row r="88" spans="18:59" x14ac:dyDescent="0.25">
      <c r="R88" s="1259"/>
      <c r="S88" s="1259"/>
      <c r="W88" s="1259"/>
      <c r="X88" s="1259"/>
      <c r="AE88" s="1259"/>
      <c r="AF88" s="1259"/>
      <c r="AV88" s="1259"/>
      <c r="AW88" s="1259"/>
      <c r="AX88" s="1259"/>
      <c r="AY88" s="1259"/>
      <c r="AZ88" s="1259"/>
      <c r="BA88" s="1259"/>
      <c r="BC88" s="1259"/>
      <c r="BE88" s="1259"/>
      <c r="BF88" s="1259"/>
      <c r="BG88" s="1259"/>
    </row>
    <row r="89" spans="18:59" x14ac:dyDescent="0.25">
      <c r="R89" s="1259"/>
      <c r="S89" s="1259"/>
      <c r="W89" s="1259"/>
      <c r="X89" s="1259"/>
      <c r="AE89" s="1259"/>
      <c r="AF89" s="1259"/>
      <c r="AV89" s="1259"/>
      <c r="AW89" s="1259"/>
      <c r="AX89" s="1259"/>
      <c r="AY89" s="1259"/>
      <c r="AZ89" s="1259"/>
      <c r="BA89" s="1259"/>
      <c r="BC89" s="1259"/>
      <c r="BE89" s="1259"/>
      <c r="BF89" s="1259"/>
      <c r="BG89" s="1259"/>
    </row>
    <row r="90" spans="18:59" x14ac:dyDescent="0.25">
      <c r="R90" s="1259"/>
      <c r="S90" s="1259"/>
      <c r="W90" s="1259"/>
      <c r="X90" s="1259"/>
      <c r="AE90" s="1259"/>
      <c r="AF90" s="1259"/>
      <c r="AV90" s="1259"/>
      <c r="AW90" s="1259"/>
      <c r="AX90" s="1259"/>
      <c r="AY90" s="1259"/>
      <c r="AZ90" s="1259"/>
      <c r="BA90" s="1259"/>
      <c r="BC90" s="1259"/>
      <c r="BE90" s="1259"/>
      <c r="BF90" s="1259"/>
      <c r="BG90" s="1259"/>
    </row>
    <row r="91" spans="18:59" x14ac:dyDescent="0.25">
      <c r="R91" s="1259"/>
      <c r="S91" s="1259"/>
      <c r="W91" s="1259"/>
      <c r="X91" s="1259"/>
      <c r="AE91" s="1259"/>
      <c r="AF91" s="1259"/>
      <c r="AV91" s="1259"/>
      <c r="AW91" s="1259"/>
      <c r="AX91" s="1259"/>
      <c r="AY91" s="1259"/>
      <c r="AZ91" s="1259"/>
      <c r="BA91" s="1259"/>
      <c r="BC91" s="1259"/>
      <c r="BE91" s="1259"/>
      <c r="BF91" s="1259"/>
      <c r="BG91" s="1259"/>
    </row>
    <row r="92" spans="18:59" x14ac:dyDescent="0.25">
      <c r="R92" s="1259"/>
      <c r="S92" s="1259"/>
      <c r="W92" s="1259"/>
      <c r="X92" s="1259"/>
      <c r="AE92" s="1259"/>
      <c r="AF92" s="1259"/>
      <c r="AV92" s="1259"/>
      <c r="AW92" s="1259"/>
      <c r="AX92" s="1259"/>
      <c r="AY92" s="1259"/>
      <c r="AZ92" s="1259"/>
      <c r="BA92" s="1259"/>
      <c r="BC92" s="1259"/>
      <c r="BE92" s="1259"/>
      <c r="BF92" s="1259"/>
      <c r="BG92" s="1259"/>
    </row>
    <row r="93" spans="18:59" x14ac:dyDescent="0.25">
      <c r="R93" s="1259"/>
      <c r="S93" s="1259"/>
      <c r="W93" s="1259"/>
      <c r="X93" s="1259"/>
      <c r="AE93" s="1259"/>
      <c r="AF93" s="1259"/>
      <c r="AV93" s="1259"/>
      <c r="AW93" s="1259"/>
      <c r="AX93" s="1259"/>
      <c r="AY93" s="1259"/>
      <c r="AZ93" s="1259"/>
      <c r="BA93" s="1259"/>
      <c r="BC93" s="1259"/>
      <c r="BE93" s="1259"/>
      <c r="BF93" s="1259"/>
      <c r="BG93" s="1259"/>
    </row>
    <row r="94" spans="18:59" x14ac:dyDescent="0.25">
      <c r="R94" s="1259"/>
      <c r="S94" s="1259"/>
      <c r="W94" s="1259"/>
      <c r="X94" s="1259"/>
      <c r="AE94" s="1259"/>
      <c r="AF94" s="1259"/>
      <c r="AV94" s="1259"/>
      <c r="AW94" s="1259"/>
      <c r="AX94" s="1259"/>
      <c r="AY94" s="1259"/>
      <c r="AZ94" s="1259"/>
      <c r="BA94" s="1259"/>
      <c r="BC94" s="1259"/>
      <c r="BE94" s="1259"/>
      <c r="BF94" s="1259"/>
      <c r="BG94" s="1259"/>
    </row>
    <row r="95" spans="18:59" x14ac:dyDescent="0.25">
      <c r="R95" s="1259"/>
      <c r="S95" s="1259"/>
      <c r="W95" s="1259"/>
      <c r="X95" s="1259"/>
      <c r="AE95" s="1259"/>
      <c r="AF95" s="1259"/>
      <c r="AV95" s="1259"/>
      <c r="AW95" s="1259"/>
      <c r="AX95" s="1259"/>
      <c r="AY95" s="1259"/>
      <c r="AZ95" s="1259"/>
      <c r="BA95" s="1259"/>
      <c r="BC95" s="1259"/>
      <c r="BE95" s="1259"/>
      <c r="BF95" s="1259"/>
      <c r="BG95" s="1259"/>
    </row>
    <row r="96" spans="18:59" x14ac:dyDescent="0.25">
      <c r="R96" s="1259"/>
      <c r="S96" s="1259"/>
      <c r="W96" s="1259"/>
      <c r="X96" s="1259"/>
      <c r="AE96" s="1259"/>
      <c r="AF96" s="1259"/>
      <c r="AV96" s="1259"/>
      <c r="AW96" s="1259"/>
      <c r="AX96" s="1259"/>
      <c r="AY96" s="1259"/>
      <c r="AZ96" s="1259"/>
      <c r="BA96" s="1259"/>
      <c r="BC96" s="1259"/>
      <c r="BE96" s="1259"/>
      <c r="BF96" s="1259"/>
      <c r="BG96" s="1259"/>
    </row>
    <row r="97" spans="18:59" x14ac:dyDescent="0.25">
      <c r="R97" s="1259"/>
      <c r="S97" s="1259"/>
      <c r="W97" s="1259"/>
      <c r="X97" s="1259"/>
      <c r="AE97" s="1259"/>
      <c r="AF97" s="1259"/>
      <c r="AV97" s="1259"/>
      <c r="AW97" s="1259"/>
      <c r="AX97" s="1259"/>
      <c r="AY97" s="1259"/>
      <c r="AZ97" s="1259"/>
      <c r="BA97" s="1259"/>
      <c r="BC97" s="1259"/>
      <c r="BE97" s="1259"/>
      <c r="BF97" s="1259"/>
      <c r="BG97" s="1259"/>
    </row>
    <row r="98" spans="18:59" x14ac:dyDescent="0.25">
      <c r="R98" s="1259"/>
      <c r="S98" s="1259"/>
      <c r="W98" s="1259"/>
      <c r="X98" s="1259"/>
      <c r="AE98" s="1259"/>
      <c r="AF98" s="1259"/>
      <c r="AV98" s="1259"/>
      <c r="AW98" s="1259"/>
      <c r="AX98" s="1259"/>
      <c r="AY98" s="1259"/>
      <c r="AZ98" s="1259"/>
      <c r="BA98" s="1259"/>
      <c r="BC98" s="1259"/>
      <c r="BE98" s="1259"/>
      <c r="BF98" s="1259"/>
      <c r="BG98" s="1259"/>
    </row>
    <row r="99" spans="18:59" x14ac:dyDescent="0.25">
      <c r="R99" s="1259"/>
      <c r="S99" s="1259"/>
      <c r="W99" s="1259"/>
      <c r="X99" s="1259"/>
      <c r="AE99" s="1259"/>
      <c r="AF99" s="1259"/>
      <c r="AV99" s="1259"/>
      <c r="AW99" s="1259"/>
      <c r="AX99" s="1259"/>
      <c r="AY99" s="1259"/>
      <c r="AZ99" s="1259"/>
      <c r="BA99" s="1259"/>
      <c r="BC99" s="1259"/>
      <c r="BE99" s="1259"/>
      <c r="BF99" s="1259"/>
      <c r="BG99" s="1259"/>
    </row>
    <row r="100" spans="18:59" x14ac:dyDescent="0.25">
      <c r="R100" s="1259"/>
      <c r="S100" s="1259"/>
      <c r="W100" s="1259"/>
      <c r="X100" s="1259"/>
      <c r="AE100" s="1259"/>
      <c r="AF100" s="1259"/>
      <c r="AV100" s="1259"/>
      <c r="AW100" s="1259"/>
      <c r="AX100" s="1259"/>
      <c r="AY100" s="1259"/>
      <c r="AZ100" s="1259"/>
      <c r="BA100" s="1259"/>
      <c r="BC100" s="1259"/>
      <c r="BE100" s="1259"/>
      <c r="BF100" s="1259"/>
      <c r="BG100" s="1259"/>
    </row>
    <row r="101" spans="18:59" x14ac:dyDescent="0.25">
      <c r="R101" s="1259"/>
      <c r="S101" s="1259"/>
      <c r="W101" s="1259"/>
      <c r="X101" s="1259"/>
      <c r="AE101" s="1259"/>
      <c r="AF101" s="1259"/>
      <c r="AV101" s="1259"/>
      <c r="AW101" s="1259"/>
      <c r="AX101" s="1259"/>
      <c r="AY101" s="1259"/>
      <c r="AZ101" s="1259"/>
      <c r="BA101" s="1259"/>
      <c r="BC101" s="1259"/>
      <c r="BE101" s="1259"/>
      <c r="BF101" s="1259"/>
      <c r="BG101" s="1259"/>
    </row>
    <row r="102" spans="18:59" x14ac:dyDescent="0.25">
      <c r="R102" s="1259"/>
      <c r="S102" s="1259"/>
      <c r="W102" s="1259"/>
      <c r="X102" s="1259"/>
      <c r="AE102" s="1259"/>
      <c r="AF102" s="1259"/>
      <c r="AV102" s="1259"/>
      <c r="AW102" s="1259"/>
      <c r="AX102" s="1259"/>
      <c r="AY102" s="1259"/>
      <c r="AZ102" s="1259"/>
      <c r="BA102" s="1259"/>
      <c r="BC102" s="1259"/>
      <c r="BE102" s="1259"/>
      <c r="BF102" s="1259"/>
      <c r="BG102" s="1259"/>
    </row>
    <row r="103" spans="18:59" x14ac:dyDescent="0.25">
      <c r="R103" s="1259"/>
      <c r="S103" s="1259"/>
      <c r="W103" s="1259"/>
      <c r="X103" s="1259"/>
      <c r="AE103" s="1259"/>
      <c r="AF103" s="1259"/>
      <c r="AV103" s="1259"/>
      <c r="AW103" s="1259"/>
      <c r="AX103" s="1259"/>
      <c r="AY103" s="1259"/>
      <c r="AZ103" s="1259"/>
      <c r="BA103" s="1259"/>
      <c r="BC103" s="1259"/>
      <c r="BE103" s="1259"/>
      <c r="BF103" s="1259"/>
      <c r="BG103" s="1259"/>
    </row>
    <row r="104" spans="18:59" x14ac:dyDescent="0.25">
      <c r="R104" s="1259"/>
      <c r="S104" s="1259"/>
      <c r="W104" s="1259"/>
      <c r="X104" s="1259"/>
      <c r="AE104" s="1259"/>
      <c r="AF104" s="1259"/>
      <c r="AV104" s="1259"/>
      <c r="AW104" s="1259"/>
      <c r="AX104" s="1259"/>
      <c r="AY104" s="1259"/>
      <c r="AZ104" s="1259"/>
      <c r="BA104" s="1259"/>
      <c r="BC104" s="1259"/>
      <c r="BE104" s="1259"/>
      <c r="BF104" s="1259"/>
      <c r="BG104" s="1259"/>
    </row>
    <row r="105" spans="18:59" x14ac:dyDescent="0.25">
      <c r="R105" s="1259"/>
      <c r="S105" s="1259"/>
      <c r="W105" s="1259"/>
      <c r="X105" s="1259"/>
      <c r="AE105" s="1259"/>
      <c r="AF105" s="1259"/>
      <c r="AV105" s="1259"/>
      <c r="AW105" s="1259"/>
      <c r="AX105" s="1259"/>
      <c r="AY105" s="1259"/>
      <c r="AZ105" s="1259"/>
      <c r="BA105" s="1259"/>
      <c r="BC105" s="1259"/>
      <c r="BE105" s="1259"/>
      <c r="BF105" s="1259"/>
      <c r="BG105" s="1259"/>
    </row>
    <row r="106" spans="18:59" x14ac:dyDescent="0.25">
      <c r="R106" s="1259"/>
      <c r="S106" s="1259"/>
      <c r="W106" s="1259"/>
      <c r="X106" s="1259"/>
      <c r="AE106" s="1259"/>
      <c r="AF106" s="1259"/>
      <c r="AV106" s="1259"/>
      <c r="AW106" s="1259"/>
      <c r="AX106" s="1259"/>
      <c r="AY106" s="1259"/>
      <c r="AZ106" s="1259"/>
      <c r="BA106" s="1259"/>
      <c r="BC106" s="1259"/>
      <c r="BE106" s="1259"/>
      <c r="BF106" s="1259"/>
      <c r="BG106" s="1259"/>
    </row>
    <row r="107" spans="18:59" x14ac:dyDescent="0.25">
      <c r="R107" s="1259"/>
      <c r="S107" s="1259"/>
      <c r="W107" s="1259"/>
      <c r="X107" s="1259"/>
      <c r="AE107" s="1259"/>
      <c r="AF107" s="1259"/>
      <c r="AV107" s="1259"/>
      <c r="AW107" s="1259"/>
      <c r="AX107" s="1259"/>
      <c r="AY107" s="1259"/>
      <c r="AZ107" s="1259"/>
      <c r="BA107" s="1259"/>
      <c r="BC107" s="1259"/>
      <c r="BE107" s="1259"/>
      <c r="BF107" s="1259"/>
      <c r="BG107" s="1259"/>
    </row>
    <row r="108" spans="18:59" x14ac:dyDescent="0.25">
      <c r="R108" s="1259"/>
      <c r="S108" s="1259"/>
      <c r="W108" s="1259"/>
      <c r="X108" s="1259"/>
      <c r="AE108" s="1259"/>
      <c r="AF108" s="1259"/>
      <c r="AV108" s="1259"/>
      <c r="AW108" s="1259"/>
      <c r="AX108" s="1259"/>
      <c r="AY108" s="1259"/>
      <c r="AZ108" s="1259"/>
      <c r="BA108" s="1259"/>
      <c r="BC108" s="1259"/>
      <c r="BE108" s="1259"/>
      <c r="BF108" s="1259"/>
      <c r="BG108" s="1259"/>
    </row>
    <row r="109" spans="18:59" x14ac:dyDescent="0.25">
      <c r="R109" s="1259"/>
      <c r="S109" s="1259"/>
      <c r="W109" s="1259"/>
      <c r="X109" s="1259"/>
      <c r="AE109" s="1259"/>
      <c r="AF109" s="1259"/>
      <c r="AV109" s="1259"/>
      <c r="AW109" s="1259"/>
      <c r="AX109" s="1259"/>
      <c r="AY109" s="1259"/>
      <c r="AZ109" s="1259"/>
      <c r="BA109" s="1259"/>
      <c r="BC109" s="1259"/>
      <c r="BE109" s="1259"/>
      <c r="BF109" s="1259"/>
      <c r="BG109" s="1259"/>
    </row>
    <row r="110" spans="18:59" x14ac:dyDescent="0.25">
      <c r="R110" s="1259"/>
      <c r="S110" s="1259"/>
      <c r="W110" s="1259"/>
      <c r="X110" s="1259"/>
      <c r="AE110" s="1259"/>
      <c r="AF110" s="1259"/>
      <c r="AV110" s="1259"/>
      <c r="AW110" s="1259"/>
      <c r="AX110" s="1259"/>
      <c r="AY110" s="1259"/>
      <c r="AZ110" s="1259"/>
      <c r="BA110" s="1259"/>
      <c r="BC110" s="1259"/>
      <c r="BE110" s="1259"/>
      <c r="BF110" s="1259"/>
      <c r="BG110" s="1259"/>
    </row>
    <row r="111" spans="18:59" x14ac:dyDescent="0.25">
      <c r="R111" s="1259"/>
      <c r="S111" s="1259"/>
      <c r="W111" s="1259"/>
      <c r="X111" s="1259"/>
      <c r="AE111" s="1259"/>
      <c r="AF111" s="1259"/>
      <c r="AV111" s="1259"/>
      <c r="AW111" s="1259"/>
      <c r="AX111" s="1259"/>
      <c r="AY111" s="1259"/>
      <c r="AZ111" s="1259"/>
      <c r="BA111" s="1259"/>
      <c r="BC111" s="1259"/>
      <c r="BE111" s="1259"/>
      <c r="BF111" s="1259"/>
      <c r="BG111" s="1259"/>
    </row>
    <row r="112" spans="18:59" x14ac:dyDescent="0.25">
      <c r="R112" s="1259"/>
      <c r="S112" s="1259"/>
      <c r="W112" s="1259"/>
      <c r="X112" s="1259"/>
      <c r="AE112" s="1259"/>
      <c r="AF112" s="1259"/>
      <c r="AV112" s="1259"/>
      <c r="AW112" s="1259"/>
      <c r="AX112" s="1259"/>
      <c r="AY112" s="1259"/>
      <c r="AZ112" s="1259"/>
      <c r="BA112" s="1259"/>
      <c r="BC112" s="1259"/>
      <c r="BE112" s="1259"/>
      <c r="BF112" s="1259"/>
      <c r="BG112" s="1259"/>
    </row>
    <row r="113" spans="18:59" x14ac:dyDescent="0.25">
      <c r="R113" s="1259"/>
      <c r="S113" s="1259"/>
      <c r="W113" s="1259"/>
      <c r="X113" s="1259"/>
      <c r="AE113" s="1259"/>
      <c r="AF113" s="1259"/>
      <c r="AV113" s="1259"/>
      <c r="AW113" s="1259"/>
      <c r="AX113" s="1259"/>
      <c r="AY113" s="1259"/>
      <c r="AZ113" s="1259"/>
      <c r="BA113" s="1259"/>
      <c r="BC113" s="1259"/>
      <c r="BE113" s="1259"/>
      <c r="BF113" s="1259"/>
      <c r="BG113" s="1259"/>
    </row>
    <row r="114" spans="18:59" x14ac:dyDescent="0.25">
      <c r="R114" s="1259"/>
      <c r="S114" s="1259"/>
      <c r="W114" s="1259"/>
      <c r="X114" s="1259"/>
      <c r="AE114" s="1259"/>
      <c r="AF114" s="1259"/>
      <c r="AV114" s="1259"/>
      <c r="AW114" s="1259"/>
      <c r="AX114" s="1259"/>
      <c r="AY114" s="1259"/>
      <c r="AZ114" s="1259"/>
      <c r="BA114" s="1259"/>
      <c r="BC114" s="1259"/>
      <c r="BE114" s="1259"/>
      <c r="BF114" s="1259"/>
      <c r="BG114" s="1259"/>
    </row>
    <row r="115" spans="18:59" x14ac:dyDescent="0.25">
      <c r="R115" s="1259"/>
      <c r="S115" s="1259"/>
      <c r="W115" s="1259"/>
      <c r="X115" s="1259"/>
      <c r="AE115" s="1259"/>
      <c r="AF115" s="1259"/>
      <c r="AV115" s="1259"/>
      <c r="AW115" s="1259"/>
      <c r="AX115" s="1259"/>
      <c r="AY115" s="1259"/>
      <c r="AZ115" s="1259"/>
      <c r="BA115" s="1259"/>
      <c r="BC115" s="1259"/>
      <c r="BE115" s="1259"/>
      <c r="BF115" s="1259"/>
      <c r="BG115" s="1259"/>
    </row>
    <row r="116" spans="18:59" x14ac:dyDescent="0.25">
      <c r="R116" s="1259"/>
      <c r="S116" s="1259"/>
      <c r="W116" s="1259"/>
      <c r="X116" s="1259"/>
      <c r="AE116" s="1259"/>
      <c r="AF116" s="1259"/>
      <c r="AV116" s="1259"/>
      <c r="AW116" s="1259"/>
      <c r="AX116" s="1259"/>
      <c r="AY116" s="1259"/>
      <c r="AZ116" s="1259"/>
      <c r="BA116" s="1259"/>
      <c r="BC116" s="1259"/>
      <c r="BE116" s="1259"/>
      <c r="BF116" s="1259"/>
      <c r="BG116" s="1259"/>
    </row>
    <row r="117" spans="18:59" x14ac:dyDescent="0.25">
      <c r="R117" s="1259"/>
      <c r="S117" s="1259"/>
      <c r="W117" s="1259"/>
      <c r="X117" s="1259"/>
      <c r="AE117" s="1259"/>
      <c r="AF117" s="1259"/>
      <c r="AV117" s="1259"/>
      <c r="AW117" s="1259"/>
      <c r="AX117" s="1259"/>
      <c r="AY117" s="1259"/>
      <c r="AZ117" s="1259"/>
      <c r="BA117" s="1259"/>
      <c r="BC117" s="1259"/>
      <c r="BE117" s="1259"/>
      <c r="BF117" s="1259"/>
      <c r="BG117" s="1259"/>
    </row>
    <row r="118" spans="18:59" x14ac:dyDescent="0.25">
      <c r="R118" s="1259"/>
      <c r="S118" s="1259"/>
      <c r="W118" s="1259"/>
      <c r="X118" s="1259"/>
      <c r="AE118" s="1259"/>
      <c r="AF118" s="1259"/>
      <c r="AV118" s="1259"/>
      <c r="AW118" s="1259"/>
      <c r="AX118" s="1259"/>
      <c r="AY118" s="1259"/>
      <c r="AZ118" s="1259"/>
      <c r="BA118" s="1259"/>
      <c r="BC118" s="1259"/>
      <c r="BE118" s="1259"/>
      <c r="BF118" s="1259"/>
      <c r="BG118" s="1259"/>
    </row>
    <row r="119" spans="18:59" x14ac:dyDescent="0.25">
      <c r="R119" s="1259"/>
      <c r="S119" s="1259"/>
      <c r="W119" s="1259"/>
      <c r="X119" s="1259"/>
      <c r="AE119" s="1259"/>
      <c r="AF119" s="1259"/>
      <c r="AV119" s="1259"/>
      <c r="AW119" s="1259"/>
      <c r="AX119" s="1259"/>
      <c r="AY119" s="1259"/>
      <c r="AZ119" s="1259"/>
      <c r="BA119" s="1259"/>
      <c r="BC119" s="1259"/>
      <c r="BE119" s="1259"/>
      <c r="BF119" s="1259"/>
      <c r="BG119" s="1259"/>
    </row>
    <row r="120" spans="18:59" x14ac:dyDescent="0.25">
      <c r="R120" s="1259"/>
      <c r="S120" s="1259"/>
      <c r="W120" s="1259"/>
      <c r="X120" s="1259"/>
      <c r="AE120" s="1259"/>
      <c r="AF120" s="1259"/>
      <c r="AV120" s="1259"/>
      <c r="AW120" s="1259"/>
      <c r="AX120" s="1259"/>
      <c r="AY120" s="1259"/>
      <c r="AZ120" s="1259"/>
      <c r="BA120" s="1259"/>
      <c r="BC120" s="1259"/>
      <c r="BE120" s="1259"/>
      <c r="BF120" s="1259"/>
      <c r="BG120" s="1259"/>
    </row>
    <row r="121" spans="18:59" x14ac:dyDescent="0.25">
      <c r="R121" s="1259"/>
      <c r="S121" s="1259"/>
      <c r="W121" s="1259"/>
      <c r="X121" s="1259"/>
      <c r="AE121" s="1259"/>
      <c r="AF121" s="1259"/>
      <c r="AV121" s="1259"/>
      <c r="AW121" s="1259"/>
      <c r="AX121" s="1259"/>
      <c r="AY121" s="1259"/>
      <c r="AZ121" s="1259"/>
      <c r="BA121" s="1259"/>
      <c r="BC121" s="1259"/>
      <c r="BE121" s="1259"/>
      <c r="BF121" s="1259"/>
      <c r="BG121" s="1259"/>
    </row>
    <row r="122" spans="18:59" x14ac:dyDescent="0.25">
      <c r="R122" s="1259"/>
      <c r="S122" s="1259"/>
      <c r="W122" s="1259"/>
      <c r="X122" s="1259"/>
      <c r="AE122" s="1259"/>
      <c r="AF122" s="1259"/>
      <c r="AV122" s="1259"/>
      <c r="AW122" s="1259"/>
      <c r="AX122" s="1259"/>
      <c r="AY122" s="1259"/>
      <c r="AZ122" s="1259"/>
      <c r="BA122" s="1259"/>
      <c r="BC122" s="1259"/>
      <c r="BE122" s="1259"/>
      <c r="BF122" s="1259"/>
      <c r="BG122" s="1259"/>
    </row>
    <row r="123" spans="18:59" x14ac:dyDescent="0.25">
      <c r="R123" s="1259"/>
      <c r="S123" s="1259"/>
      <c r="W123" s="1259"/>
      <c r="X123" s="1259"/>
      <c r="AE123" s="1259"/>
      <c r="AF123" s="1259"/>
      <c r="AV123" s="1259"/>
      <c r="AW123" s="1259"/>
      <c r="AX123" s="1259"/>
      <c r="AY123" s="1259"/>
      <c r="AZ123" s="1259"/>
      <c r="BA123" s="1259"/>
      <c r="BC123" s="1259"/>
      <c r="BE123" s="1259"/>
      <c r="BF123" s="1259"/>
      <c r="BG123" s="1259"/>
    </row>
    <row r="124" spans="18:59" x14ac:dyDescent="0.25">
      <c r="R124" s="1259"/>
      <c r="S124" s="1259"/>
      <c r="W124" s="1259"/>
      <c r="X124" s="1259"/>
      <c r="AE124" s="1259"/>
      <c r="AF124" s="1259"/>
      <c r="AV124" s="1259"/>
      <c r="AW124" s="1259"/>
      <c r="AX124" s="1259"/>
      <c r="AY124" s="1259"/>
      <c r="AZ124" s="1259"/>
      <c r="BA124" s="1259"/>
      <c r="BC124" s="1259"/>
      <c r="BE124" s="1259"/>
      <c r="BF124" s="1259"/>
      <c r="BG124" s="1259"/>
    </row>
    <row r="125" spans="18:59" x14ac:dyDescent="0.25">
      <c r="R125" s="1259"/>
      <c r="S125" s="1259"/>
      <c r="W125" s="1259"/>
      <c r="X125" s="1259"/>
      <c r="AE125" s="1259"/>
      <c r="AF125" s="1259"/>
      <c r="AV125" s="1259"/>
      <c r="AW125" s="1259"/>
      <c r="AX125" s="1259"/>
      <c r="AY125" s="1259"/>
      <c r="AZ125" s="1259"/>
      <c r="BA125" s="1259"/>
      <c r="BC125" s="1259"/>
      <c r="BE125" s="1259"/>
      <c r="BF125" s="1259"/>
      <c r="BG125" s="1259"/>
    </row>
    <row r="126" spans="18:59" x14ac:dyDescent="0.25">
      <c r="R126" s="1259"/>
      <c r="S126" s="1259"/>
      <c r="W126" s="1259"/>
      <c r="X126" s="1259"/>
      <c r="AE126" s="1259"/>
      <c r="AF126" s="1259"/>
      <c r="AV126" s="1259"/>
      <c r="AW126" s="1259"/>
      <c r="AX126" s="1259"/>
      <c r="AY126" s="1259"/>
      <c r="AZ126" s="1259"/>
      <c r="BA126" s="1259"/>
      <c r="BC126" s="1259"/>
      <c r="BE126" s="1259"/>
      <c r="BF126" s="1259"/>
      <c r="BG126" s="1259"/>
    </row>
    <row r="127" spans="18:59" x14ac:dyDescent="0.25">
      <c r="R127" s="1259"/>
      <c r="S127" s="1259"/>
      <c r="W127" s="1259"/>
      <c r="X127" s="1259"/>
      <c r="AE127" s="1259"/>
      <c r="AF127" s="1259"/>
      <c r="AV127" s="1259"/>
      <c r="AW127" s="1259"/>
      <c r="AX127" s="1259"/>
      <c r="AY127" s="1259"/>
      <c r="AZ127" s="1259"/>
      <c r="BA127" s="1259"/>
      <c r="BC127" s="1259"/>
      <c r="BE127" s="1259"/>
      <c r="BF127" s="1259"/>
      <c r="BG127" s="1259"/>
    </row>
    <row r="128" spans="18:59" x14ac:dyDescent="0.25">
      <c r="R128" s="1259"/>
      <c r="S128" s="1259"/>
      <c r="W128" s="1259"/>
      <c r="X128" s="1259"/>
      <c r="AE128" s="1259"/>
      <c r="AF128" s="1259"/>
      <c r="AV128" s="1259"/>
      <c r="AW128" s="1259"/>
      <c r="AX128" s="1259"/>
      <c r="AY128" s="1259"/>
      <c r="AZ128" s="1259"/>
      <c r="BA128" s="1259"/>
      <c r="BC128" s="1259"/>
      <c r="BE128" s="1259"/>
      <c r="BF128" s="1259"/>
      <c r="BG128" s="1259"/>
    </row>
    <row r="129" spans="18:59" x14ac:dyDescent="0.25">
      <c r="R129" s="1259"/>
      <c r="S129" s="1259"/>
      <c r="W129" s="1259"/>
      <c r="X129" s="1259"/>
      <c r="AE129" s="1259"/>
      <c r="AF129" s="1259"/>
      <c r="AV129" s="1259"/>
      <c r="AW129" s="1259"/>
      <c r="AX129" s="1259"/>
      <c r="AY129" s="1259"/>
      <c r="AZ129" s="1259"/>
      <c r="BA129" s="1259"/>
      <c r="BC129" s="1259"/>
      <c r="BE129" s="1259"/>
      <c r="BF129" s="1259"/>
      <c r="BG129" s="1259"/>
    </row>
    <row r="130" spans="18:59" x14ac:dyDescent="0.25">
      <c r="R130" s="1259"/>
      <c r="S130" s="1259"/>
      <c r="W130" s="1259"/>
      <c r="X130" s="1259"/>
      <c r="AE130" s="1259"/>
      <c r="AF130" s="1259"/>
      <c r="AV130" s="1259"/>
      <c r="AW130" s="1259"/>
      <c r="AX130" s="1259"/>
      <c r="AY130" s="1259"/>
      <c r="AZ130" s="1259"/>
      <c r="BA130" s="1259"/>
      <c r="BC130" s="1259"/>
      <c r="BE130" s="1259"/>
      <c r="BF130" s="1259"/>
      <c r="BG130" s="1259"/>
    </row>
    <row r="131" spans="18:59" x14ac:dyDescent="0.25">
      <c r="R131" s="1259"/>
      <c r="S131" s="1259"/>
      <c r="W131" s="1259"/>
      <c r="X131" s="1259"/>
      <c r="AE131" s="1259"/>
      <c r="AF131" s="1259"/>
      <c r="AV131" s="1259"/>
      <c r="AW131" s="1259"/>
      <c r="AX131" s="1259"/>
      <c r="AY131" s="1259"/>
      <c r="AZ131" s="1259"/>
      <c r="BA131" s="1259"/>
      <c r="BC131" s="1259"/>
      <c r="BE131" s="1259"/>
      <c r="BF131" s="1259"/>
      <c r="BG131" s="1259"/>
    </row>
    <row r="132" spans="18:59" x14ac:dyDescent="0.25">
      <c r="R132" s="1259"/>
      <c r="S132" s="1259"/>
      <c r="W132" s="1259"/>
      <c r="X132" s="1259"/>
      <c r="AE132" s="1259"/>
      <c r="AF132" s="1259"/>
      <c r="AV132" s="1259"/>
      <c r="AW132" s="1259"/>
      <c r="AX132" s="1259"/>
      <c r="AY132" s="1259"/>
      <c r="AZ132" s="1259"/>
      <c r="BA132" s="1259"/>
      <c r="BC132" s="1259"/>
      <c r="BE132" s="1259"/>
      <c r="BF132" s="1259"/>
      <c r="BG132" s="1259"/>
    </row>
    <row r="133" spans="18:59" x14ac:dyDescent="0.25">
      <c r="R133" s="1259"/>
      <c r="S133" s="1259"/>
      <c r="W133" s="1259"/>
      <c r="X133" s="1259"/>
      <c r="AE133" s="1259"/>
      <c r="AF133" s="1259"/>
      <c r="AV133" s="1259"/>
      <c r="AW133" s="1259"/>
      <c r="AX133" s="1259"/>
      <c r="AY133" s="1259"/>
      <c r="AZ133" s="1259"/>
      <c r="BA133" s="1259"/>
      <c r="BC133" s="1259"/>
      <c r="BE133" s="1259"/>
      <c r="BF133" s="1259"/>
      <c r="BG133" s="1259"/>
    </row>
    <row r="134" spans="18:59" x14ac:dyDescent="0.25">
      <c r="R134" s="1259"/>
      <c r="S134" s="1259"/>
      <c r="W134" s="1259"/>
      <c r="X134" s="1259"/>
      <c r="AE134" s="1259"/>
      <c r="AF134" s="1259"/>
      <c r="AV134" s="1259"/>
      <c r="AW134" s="1259"/>
      <c r="AX134" s="1259"/>
      <c r="AY134" s="1259"/>
      <c r="AZ134" s="1259"/>
      <c r="BA134" s="1259"/>
      <c r="BC134" s="1259"/>
      <c r="BE134" s="1259"/>
      <c r="BF134" s="1259"/>
      <c r="BG134" s="1259"/>
    </row>
    <row r="135" spans="18:59" x14ac:dyDescent="0.25">
      <c r="R135" s="1259"/>
      <c r="S135" s="1259"/>
      <c r="W135" s="1259"/>
      <c r="X135" s="1259"/>
      <c r="AE135" s="1259"/>
      <c r="AF135" s="1259"/>
      <c r="AV135" s="1259"/>
      <c r="AW135" s="1259"/>
      <c r="AX135" s="1259"/>
      <c r="AY135" s="1259"/>
      <c r="AZ135" s="1259"/>
      <c r="BA135" s="1259"/>
      <c r="BC135" s="1259"/>
      <c r="BE135" s="1259"/>
      <c r="BF135" s="1259"/>
      <c r="BG135" s="1259"/>
    </row>
    <row r="136" spans="18:59" x14ac:dyDescent="0.25">
      <c r="R136" s="1259"/>
      <c r="S136" s="1259"/>
      <c r="W136" s="1259"/>
      <c r="X136" s="1259"/>
      <c r="AE136" s="1259"/>
      <c r="AF136" s="1259"/>
      <c r="AV136" s="1259"/>
      <c r="AW136" s="1259"/>
      <c r="AX136" s="1259"/>
      <c r="AY136" s="1259"/>
      <c r="AZ136" s="1259"/>
      <c r="BA136" s="1259"/>
      <c r="BC136" s="1259"/>
      <c r="BE136" s="1259"/>
      <c r="BF136" s="1259"/>
      <c r="BG136" s="1259"/>
    </row>
    <row r="137" spans="18:59" x14ac:dyDescent="0.25">
      <c r="R137" s="1259"/>
      <c r="S137" s="1259"/>
      <c r="W137" s="1259"/>
      <c r="X137" s="1259"/>
      <c r="AE137" s="1259"/>
      <c r="AF137" s="1259"/>
      <c r="AV137" s="1259"/>
      <c r="AW137" s="1259"/>
      <c r="AX137" s="1259"/>
      <c r="AY137" s="1259"/>
      <c r="AZ137" s="1259"/>
      <c r="BA137" s="1259"/>
      <c r="BC137" s="1259"/>
      <c r="BE137" s="1259"/>
      <c r="BF137" s="1259"/>
      <c r="BG137" s="1259"/>
    </row>
    <row r="138" spans="18:59" x14ac:dyDescent="0.25">
      <c r="R138" s="1259"/>
      <c r="S138" s="1259"/>
      <c r="W138" s="1259"/>
      <c r="X138" s="1259"/>
      <c r="AE138" s="1259"/>
      <c r="AF138" s="1259"/>
      <c r="AV138" s="1259"/>
      <c r="AW138" s="1259"/>
      <c r="AX138" s="1259"/>
      <c r="AY138" s="1259"/>
      <c r="AZ138" s="1259"/>
      <c r="BA138" s="1259"/>
      <c r="BC138" s="1259"/>
      <c r="BE138" s="1259"/>
      <c r="BF138" s="1259"/>
      <c r="BG138" s="1259"/>
    </row>
    <row r="139" spans="18:59" x14ac:dyDescent="0.25">
      <c r="R139" s="1259"/>
      <c r="S139" s="1259"/>
      <c r="W139" s="1259"/>
      <c r="X139" s="1259"/>
      <c r="AE139" s="1259"/>
      <c r="AF139" s="1259"/>
      <c r="AV139" s="1259"/>
      <c r="AW139" s="1259"/>
      <c r="AX139" s="1259"/>
      <c r="AY139" s="1259"/>
      <c r="AZ139" s="1259"/>
      <c r="BA139" s="1259"/>
      <c r="BC139" s="1259"/>
      <c r="BE139" s="1259"/>
      <c r="BF139" s="1259"/>
      <c r="BG139" s="1259"/>
    </row>
    <row r="140" spans="18:59" x14ac:dyDescent="0.25">
      <c r="R140" s="1259"/>
      <c r="S140" s="1259"/>
      <c r="W140" s="1259"/>
      <c r="X140" s="1259"/>
      <c r="AE140" s="1259"/>
      <c r="AF140" s="1259"/>
      <c r="AV140" s="1259"/>
      <c r="AW140" s="1259"/>
      <c r="AX140" s="1259"/>
      <c r="AY140" s="1259"/>
      <c r="AZ140" s="1259"/>
      <c r="BA140" s="1259"/>
      <c r="BC140" s="1259"/>
      <c r="BE140" s="1259"/>
      <c r="BF140" s="1259"/>
      <c r="BG140" s="1259"/>
    </row>
    <row r="141" spans="18:59" x14ac:dyDescent="0.25">
      <c r="R141" s="1259"/>
      <c r="S141" s="1259"/>
      <c r="W141" s="1259"/>
      <c r="X141" s="1259"/>
      <c r="AE141" s="1259"/>
      <c r="AF141" s="1259"/>
      <c r="AV141" s="1259"/>
      <c r="AW141" s="1259"/>
      <c r="AX141" s="1259"/>
      <c r="AY141" s="1259"/>
      <c r="AZ141" s="1259"/>
      <c r="BA141" s="1259"/>
      <c r="BC141" s="1259"/>
      <c r="BE141" s="1259"/>
      <c r="BF141" s="1259"/>
      <c r="BG141" s="1259"/>
    </row>
    <row r="142" spans="18:59" x14ac:dyDescent="0.25">
      <c r="R142" s="1259"/>
      <c r="S142" s="1259"/>
      <c r="W142" s="1259"/>
      <c r="X142" s="1259"/>
      <c r="AE142" s="1259"/>
      <c r="AF142" s="1259"/>
      <c r="AV142" s="1259"/>
      <c r="AW142" s="1259"/>
      <c r="AX142" s="1259"/>
      <c r="AY142" s="1259"/>
      <c r="AZ142" s="1259"/>
      <c r="BA142" s="1259"/>
      <c r="BC142" s="1259"/>
      <c r="BE142" s="1259"/>
      <c r="BF142" s="1259"/>
      <c r="BG142" s="1259"/>
    </row>
    <row r="143" spans="18:59" x14ac:dyDescent="0.25">
      <c r="R143" s="1259"/>
      <c r="S143" s="1259"/>
      <c r="W143" s="1259"/>
      <c r="X143" s="1259"/>
      <c r="AE143" s="1259"/>
      <c r="AF143" s="1259"/>
      <c r="AV143" s="1259"/>
      <c r="AW143" s="1259"/>
      <c r="AX143" s="1259"/>
      <c r="AY143" s="1259"/>
      <c r="AZ143" s="1259"/>
      <c r="BA143" s="1259"/>
      <c r="BC143" s="1259"/>
      <c r="BE143" s="1259"/>
      <c r="BF143" s="1259"/>
      <c r="BG143" s="1259"/>
    </row>
    <row r="144" spans="18:59" x14ac:dyDescent="0.25">
      <c r="R144" s="1259"/>
      <c r="S144" s="1259"/>
      <c r="W144" s="1259"/>
      <c r="X144" s="1259"/>
      <c r="AE144" s="1259"/>
      <c r="AF144" s="1259"/>
      <c r="AV144" s="1259"/>
      <c r="AW144" s="1259"/>
      <c r="AX144" s="1259"/>
      <c r="AY144" s="1259"/>
      <c r="AZ144" s="1259"/>
      <c r="BA144" s="1259"/>
      <c r="BC144" s="1259"/>
      <c r="BE144" s="1259"/>
      <c r="BF144" s="1259"/>
      <c r="BG144" s="1259"/>
    </row>
    <row r="145" spans="18:59" x14ac:dyDescent="0.25">
      <c r="R145" s="1259"/>
      <c r="S145" s="1259"/>
      <c r="W145" s="1259"/>
      <c r="X145" s="1259"/>
      <c r="AE145" s="1259"/>
      <c r="AF145" s="1259"/>
      <c r="AV145" s="1259"/>
      <c r="AW145" s="1259"/>
      <c r="AX145" s="1259"/>
      <c r="AY145" s="1259"/>
      <c r="AZ145" s="1259"/>
      <c r="BA145" s="1259"/>
      <c r="BC145" s="1259"/>
      <c r="BE145" s="1259"/>
      <c r="BF145" s="1259"/>
      <c r="BG145" s="1259"/>
    </row>
    <row r="146" spans="18:59" x14ac:dyDescent="0.25">
      <c r="R146" s="1259"/>
      <c r="S146" s="1259"/>
      <c r="W146" s="1259"/>
      <c r="X146" s="1259"/>
      <c r="AE146" s="1259"/>
      <c r="AF146" s="1259"/>
      <c r="AV146" s="1259"/>
      <c r="AW146" s="1259"/>
      <c r="AX146" s="1259"/>
      <c r="AY146" s="1259"/>
      <c r="AZ146" s="1259"/>
      <c r="BA146" s="1259"/>
      <c r="BC146" s="1259"/>
      <c r="BE146" s="1259"/>
      <c r="BF146" s="1259"/>
      <c r="BG146" s="1259"/>
    </row>
    <row r="147" spans="18:59" x14ac:dyDescent="0.25">
      <c r="R147" s="1259"/>
      <c r="S147" s="1259"/>
      <c r="W147" s="1259"/>
      <c r="X147" s="1259"/>
      <c r="AE147" s="1259"/>
      <c r="AF147" s="1259"/>
      <c r="AV147" s="1259"/>
      <c r="AW147" s="1259"/>
      <c r="AX147" s="1259"/>
      <c r="AY147" s="1259"/>
      <c r="AZ147" s="1259"/>
      <c r="BA147" s="1259"/>
      <c r="BC147" s="1259"/>
      <c r="BE147" s="1259"/>
      <c r="BF147" s="1259"/>
      <c r="BG147" s="1259"/>
    </row>
    <row r="148" spans="18:59" x14ac:dyDescent="0.25">
      <c r="R148" s="1259"/>
      <c r="S148" s="1259"/>
      <c r="W148" s="1259"/>
      <c r="X148" s="1259"/>
      <c r="AE148" s="1259"/>
      <c r="AF148" s="1259"/>
      <c r="AV148" s="1259"/>
      <c r="AW148" s="1259"/>
      <c r="AX148" s="1259"/>
      <c r="AY148" s="1259"/>
      <c r="AZ148" s="1259"/>
      <c r="BA148" s="1259"/>
      <c r="BC148" s="1259"/>
      <c r="BE148" s="1259"/>
      <c r="BF148" s="1259"/>
      <c r="BG148" s="1259"/>
    </row>
    <row r="149" spans="18:59" x14ac:dyDescent="0.25">
      <c r="R149" s="1259"/>
      <c r="S149" s="1259"/>
      <c r="W149" s="1259"/>
      <c r="X149" s="1259"/>
      <c r="AE149" s="1259"/>
      <c r="AF149" s="1259"/>
      <c r="AV149" s="1259"/>
      <c r="AW149" s="1259"/>
      <c r="AX149" s="1259"/>
      <c r="AY149" s="1259"/>
      <c r="AZ149" s="1259"/>
      <c r="BA149" s="1259"/>
      <c r="BC149" s="1259"/>
      <c r="BE149" s="1259"/>
      <c r="BF149" s="1259"/>
      <c r="BG149" s="1259"/>
    </row>
    <row r="150" spans="18:59" x14ac:dyDescent="0.25">
      <c r="R150" s="1259"/>
      <c r="S150" s="1259"/>
      <c r="W150" s="1259"/>
      <c r="X150" s="1259"/>
      <c r="AE150" s="1259"/>
      <c r="AF150" s="1259"/>
      <c r="AV150" s="1259"/>
      <c r="AW150" s="1259"/>
      <c r="AX150" s="1259"/>
      <c r="AY150" s="1259"/>
      <c r="AZ150" s="1259"/>
      <c r="BA150" s="1259"/>
      <c r="BC150" s="1259"/>
      <c r="BE150" s="1259"/>
      <c r="BF150" s="1259"/>
      <c r="BG150" s="1259"/>
    </row>
    <row r="151" spans="18:59" x14ac:dyDescent="0.25">
      <c r="R151" s="1259"/>
      <c r="S151" s="1259"/>
      <c r="W151" s="1259"/>
      <c r="X151" s="1259"/>
      <c r="AE151" s="1259"/>
      <c r="AF151" s="1259"/>
      <c r="AV151" s="1259"/>
      <c r="AW151" s="1259"/>
      <c r="AX151" s="1259"/>
      <c r="AY151" s="1259"/>
      <c r="AZ151" s="1259"/>
      <c r="BA151" s="1259"/>
      <c r="BC151" s="1259"/>
      <c r="BE151" s="1259"/>
      <c r="BF151" s="1259"/>
      <c r="BG151" s="1259"/>
    </row>
    <row r="152" spans="18:59" x14ac:dyDescent="0.25">
      <c r="R152" s="1259"/>
      <c r="S152" s="1259"/>
      <c r="W152" s="1259"/>
      <c r="X152" s="1259"/>
      <c r="AE152" s="1259"/>
      <c r="AF152" s="1259"/>
      <c r="AV152" s="1259"/>
      <c r="AW152" s="1259"/>
      <c r="AX152" s="1259"/>
      <c r="AY152" s="1259"/>
      <c r="AZ152" s="1259"/>
      <c r="BA152" s="1259"/>
      <c r="BC152" s="1259"/>
      <c r="BE152" s="1259"/>
      <c r="BF152" s="1259"/>
      <c r="BG152" s="1259"/>
    </row>
    <row r="153" spans="18:59" x14ac:dyDescent="0.25">
      <c r="R153" s="1259"/>
      <c r="S153" s="1259"/>
      <c r="W153" s="1259"/>
      <c r="X153" s="1259"/>
      <c r="AE153" s="1259"/>
      <c r="AF153" s="1259"/>
      <c r="AV153" s="1259"/>
      <c r="AW153" s="1259"/>
      <c r="AX153" s="1259"/>
      <c r="AY153" s="1259"/>
      <c r="AZ153" s="1259"/>
      <c r="BA153" s="1259"/>
      <c r="BC153" s="1259"/>
      <c r="BE153" s="1259"/>
      <c r="BF153" s="1259"/>
      <c r="BG153" s="1259"/>
    </row>
    <row r="154" spans="18:59" x14ac:dyDescent="0.25">
      <c r="R154" s="1259"/>
      <c r="S154" s="1259"/>
      <c r="W154" s="1259"/>
      <c r="X154" s="1259"/>
      <c r="AE154" s="1259"/>
      <c r="AF154" s="1259"/>
      <c r="AV154" s="1259"/>
      <c r="AW154" s="1259"/>
      <c r="AX154" s="1259"/>
      <c r="AY154" s="1259"/>
      <c r="AZ154" s="1259"/>
      <c r="BA154" s="1259"/>
      <c r="BC154" s="1259"/>
      <c r="BE154" s="1259"/>
      <c r="BF154" s="1259"/>
      <c r="BG154" s="1259"/>
    </row>
    <row r="155" spans="18:59" x14ac:dyDescent="0.25">
      <c r="R155" s="1259"/>
      <c r="S155" s="1259"/>
      <c r="W155" s="1259"/>
      <c r="X155" s="1259"/>
      <c r="AE155" s="1259"/>
      <c r="AF155" s="1259"/>
      <c r="AV155" s="1259"/>
      <c r="AW155" s="1259"/>
      <c r="AX155" s="1259"/>
      <c r="AY155" s="1259"/>
      <c r="AZ155" s="1259"/>
      <c r="BA155" s="1259"/>
      <c r="BC155" s="1259"/>
      <c r="BE155" s="1259"/>
      <c r="BF155" s="1259"/>
      <c r="BG155" s="1259"/>
    </row>
    <row r="156" spans="18:59" x14ac:dyDescent="0.25">
      <c r="R156" s="1259"/>
      <c r="S156" s="1259"/>
      <c r="W156" s="1259"/>
      <c r="X156" s="1259"/>
      <c r="AE156" s="1259"/>
      <c r="AF156" s="1259"/>
      <c r="AV156" s="1259"/>
      <c r="AW156" s="1259"/>
      <c r="AX156" s="1259"/>
      <c r="AY156" s="1259"/>
      <c r="AZ156" s="1259"/>
      <c r="BA156" s="1259"/>
      <c r="BC156" s="1259"/>
      <c r="BE156" s="1259"/>
      <c r="BF156" s="1259"/>
      <c r="BG156" s="1259"/>
    </row>
    <row r="157" spans="18:59" x14ac:dyDescent="0.25">
      <c r="R157" s="1259"/>
      <c r="S157" s="1259"/>
      <c r="W157" s="1259"/>
      <c r="X157" s="1259"/>
      <c r="AE157" s="1259"/>
      <c r="AF157" s="1259"/>
      <c r="AV157" s="1259"/>
      <c r="AW157" s="1259"/>
      <c r="AX157" s="1259"/>
      <c r="AY157" s="1259"/>
      <c r="AZ157" s="1259"/>
      <c r="BA157" s="1259"/>
      <c r="BC157" s="1259"/>
      <c r="BE157" s="1259"/>
      <c r="BF157" s="1259"/>
      <c r="BG157" s="1259"/>
    </row>
    <row r="158" spans="18:59" x14ac:dyDescent="0.25">
      <c r="R158" s="1259"/>
      <c r="S158" s="1259"/>
      <c r="W158" s="1259"/>
      <c r="X158" s="1259"/>
      <c r="AE158" s="1259"/>
      <c r="AF158" s="1259"/>
      <c r="AV158" s="1259"/>
      <c r="AW158" s="1259"/>
      <c r="AX158" s="1259"/>
      <c r="AY158" s="1259"/>
      <c r="AZ158" s="1259"/>
      <c r="BA158" s="1259"/>
      <c r="BC158" s="1259"/>
      <c r="BE158" s="1259"/>
      <c r="BF158" s="1259"/>
      <c r="BG158" s="1259"/>
    </row>
    <row r="159" spans="18:59" x14ac:dyDescent="0.25">
      <c r="R159" s="1259"/>
      <c r="S159" s="1259"/>
      <c r="W159" s="1259"/>
      <c r="X159" s="1259"/>
      <c r="AE159" s="1259"/>
      <c r="AF159" s="1259"/>
      <c r="AV159" s="1259"/>
      <c r="AW159" s="1259"/>
      <c r="AX159" s="1259"/>
      <c r="AY159" s="1259"/>
      <c r="AZ159" s="1259"/>
      <c r="BA159" s="1259"/>
      <c r="BC159" s="1259"/>
      <c r="BE159" s="1259"/>
      <c r="BF159" s="1259"/>
      <c r="BG159" s="1259"/>
    </row>
    <row r="160" spans="18:59" x14ac:dyDescent="0.25">
      <c r="R160" s="1259"/>
      <c r="S160" s="1259"/>
      <c r="W160" s="1259"/>
      <c r="X160" s="1259"/>
      <c r="AE160" s="1259"/>
      <c r="AF160" s="1259"/>
      <c r="AV160" s="1259"/>
      <c r="AW160" s="1259"/>
      <c r="AX160" s="1259"/>
      <c r="AY160" s="1259"/>
      <c r="AZ160" s="1259"/>
      <c r="BA160" s="1259"/>
      <c r="BC160" s="1259"/>
      <c r="BE160" s="1259"/>
      <c r="BF160" s="1259"/>
      <c r="BG160" s="1259"/>
    </row>
    <row r="161" spans="18:59" x14ac:dyDescent="0.25">
      <c r="R161" s="1259"/>
      <c r="S161" s="1259"/>
      <c r="W161" s="1259"/>
      <c r="X161" s="1259"/>
      <c r="AE161" s="1259"/>
      <c r="AF161" s="1259"/>
      <c r="AV161" s="1259"/>
      <c r="AW161" s="1259"/>
      <c r="AX161" s="1259"/>
      <c r="AY161" s="1259"/>
      <c r="AZ161" s="1259"/>
      <c r="BA161" s="1259"/>
      <c r="BC161" s="1259"/>
      <c r="BE161" s="1259"/>
      <c r="BF161" s="1259"/>
      <c r="BG161" s="1259"/>
    </row>
    <row r="162" spans="18:59" x14ac:dyDescent="0.25">
      <c r="R162" s="1259"/>
      <c r="S162" s="1259"/>
      <c r="W162" s="1259"/>
      <c r="X162" s="1259"/>
      <c r="AE162" s="1259"/>
      <c r="AF162" s="1259"/>
      <c r="AV162" s="1259"/>
      <c r="AW162" s="1259"/>
      <c r="AX162" s="1259"/>
      <c r="AY162" s="1259"/>
      <c r="AZ162" s="1259"/>
      <c r="BA162" s="1259"/>
      <c r="BC162" s="1259"/>
      <c r="BE162" s="1259"/>
      <c r="BF162" s="1259"/>
      <c r="BG162" s="1259"/>
    </row>
    <row r="163" spans="18:59" x14ac:dyDescent="0.25">
      <c r="R163" s="1259"/>
      <c r="S163" s="1259"/>
      <c r="W163" s="1259"/>
      <c r="X163" s="1259"/>
      <c r="AE163" s="1259"/>
      <c r="AF163" s="1259"/>
      <c r="AV163" s="1259"/>
      <c r="AW163" s="1259"/>
      <c r="AX163" s="1259"/>
      <c r="AY163" s="1259"/>
      <c r="AZ163" s="1259"/>
      <c r="BA163" s="1259"/>
      <c r="BC163" s="1259"/>
      <c r="BE163" s="1259"/>
      <c r="BF163" s="1259"/>
      <c r="BG163" s="1259"/>
    </row>
    <row r="164" spans="18:59" x14ac:dyDescent="0.25">
      <c r="R164" s="1259"/>
      <c r="S164" s="1259"/>
      <c r="W164" s="1259"/>
      <c r="X164" s="1259"/>
      <c r="AE164" s="1259"/>
      <c r="AF164" s="1259"/>
      <c r="AV164" s="1259"/>
      <c r="AW164" s="1259"/>
      <c r="AX164" s="1259"/>
      <c r="AY164" s="1259"/>
      <c r="AZ164" s="1259"/>
      <c r="BA164" s="1259"/>
      <c r="BC164" s="1259"/>
      <c r="BE164" s="1259"/>
      <c r="BF164" s="1259"/>
      <c r="BG164" s="1259"/>
    </row>
    <row r="165" spans="18:59" x14ac:dyDescent="0.25">
      <c r="R165" s="1259"/>
      <c r="S165" s="1259"/>
      <c r="W165" s="1259"/>
      <c r="X165" s="1259"/>
      <c r="AE165" s="1259"/>
      <c r="AF165" s="1259"/>
      <c r="AV165" s="1259"/>
      <c r="AW165" s="1259"/>
      <c r="AX165" s="1259"/>
      <c r="AY165" s="1259"/>
      <c r="AZ165" s="1259"/>
      <c r="BA165" s="1259"/>
      <c r="BC165" s="1259"/>
      <c r="BE165" s="1259"/>
      <c r="BF165" s="1259"/>
      <c r="BG165" s="1259"/>
    </row>
    <row r="166" spans="18:59" x14ac:dyDescent="0.25">
      <c r="R166" s="1259"/>
      <c r="S166" s="1259"/>
      <c r="W166" s="1259"/>
      <c r="X166" s="1259"/>
      <c r="AE166" s="1259"/>
      <c r="AF166" s="1259"/>
      <c r="AV166" s="1259"/>
      <c r="AW166" s="1259"/>
      <c r="AX166" s="1259"/>
      <c r="AY166" s="1259"/>
      <c r="AZ166" s="1259"/>
      <c r="BA166" s="1259"/>
      <c r="BC166" s="1259"/>
      <c r="BE166" s="1259"/>
      <c r="BF166" s="1259"/>
      <c r="BG166" s="1259"/>
    </row>
    <row r="167" spans="18:59" x14ac:dyDescent="0.25">
      <c r="R167" s="1259"/>
      <c r="S167" s="1259"/>
      <c r="W167" s="1259"/>
      <c r="X167" s="1259"/>
      <c r="AE167" s="1259"/>
      <c r="AF167" s="1259"/>
      <c r="AV167" s="1259"/>
      <c r="AW167" s="1259"/>
      <c r="AX167" s="1259"/>
      <c r="AY167" s="1259"/>
      <c r="AZ167" s="1259"/>
      <c r="BA167" s="1259"/>
      <c r="BC167" s="1259"/>
      <c r="BE167" s="1259"/>
      <c r="BF167" s="1259"/>
      <c r="BG167" s="1259"/>
    </row>
    <row r="168" spans="18:59" x14ac:dyDescent="0.25">
      <c r="R168" s="1259"/>
      <c r="S168" s="1259"/>
      <c r="W168" s="1259"/>
      <c r="X168" s="1259"/>
      <c r="AE168" s="1259"/>
      <c r="AF168" s="1259"/>
      <c r="AV168" s="1259"/>
      <c r="AW168" s="1259"/>
      <c r="AX168" s="1259"/>
      <c r="AY168" s="1259"/>
      <c r="AZ168" s="1259"/>
      <c r="BA168" s="1259"/>
      <c r="BC168" s="1259"/>
      <c r="BE168" s="1259"/>
      <c r="BF168" s="1259"/>
      <c r="BG168" s="1259"/>
    </row>
    <row r="169" spans="18:59" x14ac:dyDescent="0.25">
      <c r="R169" s="1259"/>
      <c r="S169" s="1259"/>
      <c r="W169" s="1259"/>
      <c r="X169" s="1259"/>
      <c r="AE169" s="1259"/>
      <c r="AF169" s="1259"/>
      <c r="AV169" s="1259"/>
      <c r="AW169" s="1259"/>
      <c r="AX169" s="1259"/>
      <c r="AY169" s="1259"/>
      <c r="AZ169" s="1259"/>
      <c r="BA169" s="1259"/>
      <c r="BC169" s="1259"/>
      <c r="BE169" s="1259"/>
      <c r="BF169" s="1259"/>
      <c r="BG169" s="1259"/>
    </row>
    <row r="170" spans="18:59" x14ac:dyDescent="0.25">
      <c r="R170" s="1259"/>
      <c r="S170" s="1259"/>
      <c r="W170" s="1259"/>
      <c r="X170" s="1259"/>
      <c r="AE170" s="1259"/>
      <c r="AF170" s="1259"/>
      <c r="AV170" s="1259"/>
      <c r="AW170" s="1259"/>
      <c r="AX170" s="1259"/>
      <c r="AY170" s="1259"/>
      <c r="AZ170" s="1259"/>
      <c r="BA170" s="1259"/>
      <c r="BC170" s="1259"/>
      <c r="BE170" s="1259"/>
      <c r="BF170" s="1259"/>
      <c r="BG170" s="1259"/>
    </row>
    <row r="171" spans="18:59" x14ac:dyDescent="0.25">
      <c r="R171" s="1259"/>
      <c r="S171" s="1259"/>
      <c r="W171" s="1259"/>
      <c r="X171" s="1259"/>
      <c r="AE171" s="1259"/>
      <c r="AF171" s="1259"/>
      <c r="AV171" s="1259"/>
      <c r="AW171" s="1259"/>
      <c r="AX171" s="1259"/>
      <c r="AY171" s="1259"/>
      <c r="AZ171" s="1259"/>
      <c r="BA171" s="1259"/>
      <c r="BC171" s="1259"/>
      <c r="BE171" s="1259"/>
      <c r="BF171" s="1259"/>
      <c r="BG171" s="1259"/>
    </row>
    <row r="172" spans="18:59" x14ac:dyDescent="0.25">
      <c r="R172" s="1259"/>
      <c r="S172" s="1259"/>
      <c r="W172" s="1259"/>
      <c r="X172" s="1259"/>
      <c r="AE172" s="1259"/>
      <c r="AF172" s="1259"/>
      <c r="AV172" s="1259"/>
      <c r="AW172" s="1259"/>
      <c r="AX172" s="1259"/>
      <c r="AY172" s="1259"/>
      <c r="AZ172" s="1259"/>
      <c r="BA172" s="1259"/>
      <c r="BC172" s="1259"/>
      <c r="BE172" s="1259"/>
      <c r="BF172" s="1259"/>
      <c r="BG172" s="1259"/>
    </row>
    <row r="173" spans="18:59" x14ac:dyDescent="0.25">
      <c r="R173" s="1259"/>
      <c r="S173" s="1259"/>
      <c r="W173" s="1259"/>
      <c r="X173" s="1259"/>
      <c r="AE173" s="1259"/>
      <c r="AF173" s="1259"/>
      <c r="AV173" s="1259"/>
      <c r="AW173" s="1259"/>
      <c r="AX173" s="1259"/>
      <c r="AY173" s="1259"/>
      <c r="AZ173" s="1259"/>
      <c r="BA173" s="1259"/>
      <c r="BC173" s="1259"/>
      <c r="BE173" s="1259"/>
      <c r="BF173" s="1259"/>
      <c r="BG173" s="1259"/>
    </row>
    <row r="174" spans="18:59" x14ac:dyDescent="0.25">
      <c r="R174" s="1259"/>
      <c r="S174" s="1259"/>
      <c r="W174" s="1259"/>
      <c r="X174" s="1259"/>
      <c r="AE174" s="1259"/>
      <c r="AF174" s="1259"/>
      <c r="AV174" s="1259"/>
      <c r="AW174" s="1259"/>
      <c r="AX174" s="1259"/>
      <c r="AY174" s="1259"/>
      <c r="AZ174" s="1259"/>
      <c r="BA174" s="1259"/>
      <c r="BC174" s="1259"/>
      <c r="BE174" s="1259"/>
      <c r="BF174" s="1259"/>
      <c r="BG174" s="1259"/>
    </row>
    <row r="175" spans="18:59" x14ac:dyDescent="0.25">
      <c r="R175" s="1259"/>
      <c r="S175" s="1259"/>
      <c r="W175" s="1259"/>
      <c r="X175" s="1259"/>
      <c r="AE175" s="1259"/>
      <c r="AF175" s="1259"/>
      <c r="AV175" s="1259"/>
      <c r="AW175" s="1259"/>
      <c r="AX175" s="1259"/>
      <c r="AY175" s="1259"/>
      <c r="AZ175" s="1259"/>
      <c r="BA175" s="1259"/>
      <c r="BC175" s="1259"/>
      <c r="BE175" s="1259"/>
      <c r="BF175" s="1259"/>
      <c r="BG175" s="1259"/>
    </row>
    <row r="176" spans="18:59" x14ac:dyDescent="0.25">
      <c r="R176" s="1259"/>
      <c r="S176" s="1259"/>
      <c r="W176" s="1259"/>
      <c r="X176" s="1259"/>
      <c r="AE176" s="1259"/>
      <c r="AF176" s="1259"/>
      <c r="AV176" s="1259"/>
      <c r="AW176" s="1259"/>
      <c r="AX176" s="1259"/>
      <c r="AY176" s="1259"/>
      <c r="AZ176" s="1259"/>
      <c r="BA176" s="1259"/>
      <c r="BC176" s="1259"/>
      <c r="BE176" s="1259"/>
      <c r="BF176" s="1259"/>
      <c r="BG176" s="1259"/>
    </row>
    <row r="177" spans="18:59" x14ac:dyDescent="0.25">
      <c r="R177" s="1259"/>
      <c r="S177" s="1259"/>
      <c r="W177" s="1259"/>
      <c r="X177" s="1259"/>
      <c r="AE177" s="1259"/>
      <c r="AF177" s="1259"/>
      <c r="AV177" s="1259"/>
      <c r="AW177" s="1259"/>
      <c r="AX177" s="1259"/>
      <c r="AY177" s="1259"/>
      <c r="AZ177" s="1259"/>
      <c r="BA177" s="1259"/>
      <c r="BC177" s="1259"/>
      <c r="BE177" s="1259"/>
      <c r="BF177" s="1259"/>
      <c r="BG177" s="1259"/>
    </row>
    <row r="178" spans="18:59" x14ac:dyDescent="0.25">
      <c r="R178" s="1259"/>
      <c r="S178" s="1259"/>
      <c r="W178" s="1259"/>
      <c r="X178" s="1259"/>
      <c r="AE178" s="1259"/>
      <c r="AF178" s="1259"/>
      <c r="AV178" s="1259"/>
      <c r="AW178" s="1259"/>
      <c r="AX178" s="1259"/>
      <c r="AY178" s="1259"/>
      <c r="AZ178" s="1259"/>
      <c r="BA178" s="1259"/>
      <c r="BC178" s="1259"/>
      <c r="BE178" s="1259"/>
      <c r="BF178" s="1259"/>
      <c r="BG178" s="1259"/>
    </row>
    <row r="179" spans="18:59" x14ac:dyDescent="0.25">
      <c r="R179" s="1259"/>
      <c r="S179" s="1259"/>
      <c r="W179" s="1259"/>
      <c r="X179" s="1259"/>
      <c r="AE179" s="1259"/>
      <c r="AF179" s="1259"/>
      <c r="AV179" s="1259"/>
      <c r="AW179" s="1259"/>
      <c r="AX179" s="1259"/>
      <c r="AY179" s="1259"/>
      <c r="AZ179" s="1259"/>
      <c r="BA179" s="1259"/>
      <c r="BC179" s="1259"/>
      <c r="BE179" s="1259"/>
      <c r="BF179" s="1259"/>
      <c r="BG179" s="1259"/>
    </row>
    <row r="180" spans="18:59" x14ac:dyDescent="0.25">
      <c r="R180" s="1259"/>
      <c r="S180" s="1259"/>
      <c r="W180" s="1259"/>
      <c r="X180" s="1259"/>
      <c r="AE180" s="1259"/>
      <c r="AF180" s="1259"/>
      <c r="AV180" s="1259"/>
      <c r="AW180" s="1259"/>
      <c r="AX180" s="1259"/>
      <c r="AY180" s="1259"/>
      <c r="AZ180" s="1259"/>
      <c r="BA180" s="1259"/>
      <c r="BC180" s="1259"/>
      <c r="BE180" s="1259"/>
      <c r="BF180" s="1259"/>
      <c r="BG180" s="1259"/>
    </row>
    <row r="181" spans="18:59" x14ac:dyDescent="0.25">
      <c r="R181" s="1259"/>
      <c r="S181" s="1259"/>
      <c r="W181" s="1259"/>
      <c r="X181" s="1259"/>
      <c r="AE181" s="1259"/>
      <c r="AF181" s="1259"/>
      <c r="AV181" s="1259"/>
      <c r="AW181" s="1259"/>
      <c r="AX181" s="1259"/>
      <c r="AY181" s="1259"/>
      <c r="AZ181" s="1259"/>
      <c r="BA181" s="1259"/>
      <c r="BC181" s="1259"/>
      <c r="BE181" s="1259"/>
      <c r="BF181" s="1259"/>
      <c r="BG181" s="1259"/>
    </row>
    <row r="182" spans="18:59" x14ac:dyDescent="0.25">
      <c r="R182" s="1259"/>
      <c r="S182" s="1259"/>
      <c r="W182" s="1259"/>
      <c r="X182" s="1259"/>
      <c r="AE182" s="1259"/>
      <c r="AF182" s="1259"/>
      <c r="AV182" s="1259"/>
      <c r="AW182" s="1259"/>
      <c r="AX182" s="1259"/>
      <c r="AY182" s="1259"/>
      <c r="AZ182" s="1259"/>
      <c r="BA182" s="1259"/>
      <c r="BC182" s="1259"/>
      <c r="BE182" s="1259"/>
      <c r="BF182" s="1259"/>
      <c r="BG182" s="1259"/>
    </row>
    <row r="183" spans="18:59" x14ac:dyDescent="0.25">
      <c r="R183" s="1259"/>
      <c r="S183" s="1259"/>
      <c r="W183" s="1259"/>
      <c r="X183" s="1259"/>
      <c r="AE183" s="1259"/>
      <c r="AF183" s="1259"/>
      <c r="AV183" s="1259"/>
      <c r="AW183" s="1259"/>
      <c r="AX183" s="1259"/>
      <c r="AY183" s="1259"/>
      <c r="AZ183" s="1259"/>
      <c r="BA183" s="1259"/>
      <c r="BC183" s="1259"/>
      <c r="BE183" s="1259"/>
      <c r="BF183" s="1259"/>
      <c r="BG183" s="1259"/>
    </row>
    <row r="184" spans="18:59" x14ac:dyDescent="0.25">
      <c r="R184" s="1259"/>
      <c r="S184" s="1259"/>
      <c r="W184" s="1259"/>
      <c r="X184" s="1259"/>
      <c r="AE184" s="1259"/>
      <c r="AF184" s="1259"/>
      <c r="AV184" s="1259"/>
      <c r="AW184" s="1259"/>
      <c r="AX184" s="1259"/>
      <c r="AY184" s="1259"/>
      <c r="AZ184" s="1259"/>
      <c r="BA184" s="1259"/>
      <c r="BC184" s="1259"/>
      <c r="BE184" s="1259"/>
      <c r="BF184" s="1259"/>
      <c r="BG184" s="1259"/>
    </row>
    <row r="185" spans="18:59" x14ac:dyDescent="0.25">
      <c r="R185" s="1259"/>
      <c r="S185" s="1259"/>
      <c r="W185" s="1259"/>
      <c r="X185" s="1259"/>
      <c r="AE185" s="1259"/>
      <c r="AF185" s="1259"/>
      <c r="AV185" s="1259"/>
      <c r="AW185" s="1259"/>
      <c r="AX185" s="1259"/>
      <c r="AY185" s="1259"/>
      <c r="AZ185" s="1259"/>
      <c r="BA185" s="1259"/>
      <c r="BC185" s="1259"/>
      <c r="BE185" s="1259"/>
      <c r="BF185" s="1259"/>
      <c r="BG185" s="1259"/>
    </row>
    <row r="186" spans="18:59" x14ac:dyDescent="0.25">
      <c r="R186" s="1259"/>
      <c r="S186" s="1259"/>
      <c r="W186" s="1259"/>
      <c r="X186" s="1259"/>
      <c r="AE186" s="1259"/>
      <c r="AF186" s="1259"/>
      <c r="AV186" s="1259"/>
      <c r="AW186" s="1259"/>
      <c r="AX186" s="1259"/>
      <c r="AY186" s="1259"/>
      <c r="AZ186" s="1259"/>
      <c r="BA186" s="1259"/>
      <c r="BC186" s="1259"/>
      <c r="BE186" s="1259"/>
      <c r="BF186" s="1259"/>
      <c r="BG186" s="1259"/>
    </row>
    <row r="187" spans="18:59" x14ac:dyDescent="0.25">
      <c r="R187" s="1259"/>
      <c r="S187" s="1259"/>
      <c r="W187" s="1259"/>
      <c r="X187" s="1259"/>
      <c r="AE187" s="1259"/>
      <c r="AF187" s="1259"/>
      <c r="AV187" s="1259"/>
      <c r="AW187" s="1259"/>
      <c r="AX187" s="1259"/>
      <c r="AY187" s="1259"/>
      <c r="AZ187" s="1259"/>
      <c r="BA187" s="1259"/>
      <c r="BC187" s="1259"/>
      <c r="BE187" s="1259"/>
      <c r="BF187" s="1259"/>
      <c r="BG187" s="1259"/>
    </row>
    <row r="188" spans="18:59" x14ac:dyDescent="0.25">
      <c r="R188" s="1259"/>
      <c r="S188" s="1259"/>
      <c r="W188" s="1259"/>
      <c r="X188" s="1259"/>
      <c r="AE188" s="1259"/>
      <c r="AF188" s="1259"/>
      <c r="AV188" s="1259"/>
      <c r="AW188" s="1259"/>
      <c r="AX188" s="1259"/>
      <c r="AY188" s="1259"/>
      <c r="AZ188" s="1259"/>
      <c r="BA188" s="1259"/>
      <c r="BC188" s="1259"/>
      <c r="BE188" s="1259"/>
      <c r="BF188" s="1259"/>
      <c r="BG188" s="1259"/>
    </row>
    <row r="189" spans="18:59" x14ac:dyDescent="0.25">
      <c r="R189" s="1259"/>
      <c r="S189" s="1259"/>
      <c r="W189" s="1259"/>
      <c r="X189" s="1259"/>
      <c r="AE189" s="1259"/>
      <c r="AF189" s="1259"/>
      <c r="AV189" s="1259"/>
      <c r="AW189" s="1259"/>
      <c r="AX189" s="1259"/>
      <c r="AY189" s="1259"/>
      <c r="AZ189" s="1259"/>
      <c r="BA189" s="1259"/>
      <c r="BC189" s="1259"/>
      <c r="BE189" s="1259"/>
      <c r="BF189" s="1259"/>
      <c r="BG189" s="1259"/>
    </row>
    <row r="190" spans="18:59" x14ac:dyDescent="0.25">
      <c r="R190" s="1259"/>
      <c r="S190" s="1259"/>
      <c r="W190" s="1259"/>
      <c r="X190" s="1259"/>
      <c r="AE190" s="1259"/>
      <c r="AF190" s="1259"/>
      <c r="AV190" s="1259"/>
      <c r="AW190" s="1259"/>
      <c r="AX190" s="1259"/>
      <c r="AY190" s="1259"/>
      <c r="AZ190" s="1259"/>
      <c r="BA190" s="1259"/>
      <c r="BC190" s="1259"/>
      <c r="BE190" s="1259"/>
      <c r="BF190" s="1259"/>
      <c r="BG190" s="1259"/>
    </row>
    <row r="191" spans="18:59" x14ac:dyDescent="0.25">
      <c r="R191" s="1259"/>
      <c r="S191" s="1259"/>
      <c r="W191" s="1259"/>
      <c r="X191" s="1259"/>
      <c r="AE191" s="1259"/>
      <c r="AF191" s="1259"/>
      <c r="AV191" s="1259"/>
      <c r="AW191" s="1259"/>
      <c r="AX191" s="1259"/>
      <c r="AY191" s="1259"/>
      <c r="AZ191" s="1259"/>
      <c r="BA191" s="1259"/>
      <c r="BC191" s="1259"/>
      <c r="BE191" s="1259"/>
      <c r="BF191" s="1259"/>
      <c r="BG191" s="1259"/>
    </row>
    <row r="192" spans="18:59" x14ac:dyDescent="0.25">
      <c r="R192" s="1259"/>
      <c r="S192" s="1259"/>
      <c r="W192" s="1259"/>
      <c r="X192" s="1259"/>
      <c r="AE192" s="1259"/>
      <c r="AF192" s="1259"/>
      <c r="AV192" s="1259"/>
      <c r="AW192" s="1259"/>
      <c r="AX192" s="1259"/>
      <c r="AY192" s="1259"/>
      <c r="AZ192" s="1259"/>
      <c r="BA192" s="1259"/>
      <c r="BC192" s="1259"/>
      <c r="BE192" s="1259"/>
      <c r="BF192" s="1259"/>
      <c r="BG192" s="1259"/>
    </row>
    <row r="193" spans="18:59" x14ac:dyDescent="0.25">
      <c r="R193" s="1259"/>
      <c r="S193" s="1259"/>
      <c r="W193" s="1259"/>
      <c r="X193" s="1259"/>
      <c r="AE193" s="1259"/>
      <c r="AF193" s="1259"/>
      <c r="AV193" s="1259"/>
      <c r="AW193" s="1259"/>
      <c r="AX193" s="1259"/>
      <c r="AY193" s="1259"/>
      <c r="AZ193" s="1259"/>
      <c r="BA193" s="1259"/>
      <c r="BC193" s="1259"/>
      <c r="BE193" s="1259"/>
      <c r="BF193" s="1259"/>
      <c r="BG193" s="1259"/>
    </row>
    <row r="194" spans="18:59" x14ac:dyDescent="0.25">
      <c r="R194" s="1259"/>
      <c r="S194" s="1259"/>
      <c r="W194" s="1259"/>
      <c r="X194" s="1259"/>
      <c r="AE194" s="1259"/>
      <c r="AF194" s="1259"/>
      <c r="AV194" s="1259"/>
      <c r="AW194" s="1259"/>
      <c r="AX194" s="1259"/>
      <c r="AY194" s="1259"/>
      <c r="AZ194" s="1259"/>
      <c r="BA194" s="1259"/>
      <c r="BC194" s="1259"/>
      <c r="BE194" s="1259"/>
      <c r="BF194" s="1259"/>
      <c r="BG194" s="1259"/>
    </row>
    <row r="195" spans="18:59" x14ac:dyDescent="0.25">
      <c r="R195" s="1259"/>
      <c r="S195" s="1259"/>
      <c r="W195" s="1259"/>
      <c r="X195" s="1259"/>
      <c r="AE195" s="1259"/>
      <c r="AF195" s="1259"/>
      <c r="AV195" s="1259"/>
      <c r="AW195" s="1259"/>
      <c r="AX195" s="1259"/>
      <c r="AY195" s="1259"/>
      <c r="AZ195" s="1259"/>
      <c r="BA195" s="1259"/>
      <c r="BC195" s="1259"/>
      <c r="BE195" s="1259"/>
      <c r="BF195" s="1259"/>
      <c r="BG195" s="1259"/>
    </row>
    <row r="196" spans="18:59" x14ac:dyDescent="0.25">
      <c r="R196" s="1259"/>
      <c r="S196" s="1259"/>
      <c r="W196" s="1259"/>
      <c r="X196" s="1259"/>
      <c r="AE196" s="1259"/>
      <c r="AF196" s="1259"/>
      <c r="AV196" s="1259"/>
      <c r="AW196" s="1259"/>
      <c r="AX196" s="1259"/>
      <c r="AY196" s="1259"/>
      <c r="AZ196" s="1259"/>
      <c r="BA196" s="1259"/>
      <c r="BC196" s="1259"/>
      <c r="BE196" s="1259"/>
      <c r="BF196" s="1259"/>
      <c r="BG196" s="1259"/>
    </row>
    <row r="197" spans="18:59" x14ac:dyDescent="0.25">
      <c r="R197" s="1259"/>
      <c r="S197" s="1259"/>
      <c r="W197" s="1259"/>
      <c r="X197" s="1259"/>
      <c r="AE197" s="1259"/>
      <c r="AF197" s="1259"/>
      <c r="AV197" s="1259"/>
      <c r="AW197" s="1259"/>
      <c r="AX197" s="1259"/>
      <c r="AY197" s="1259"/>
      <c r="AZ197" s="1259"/>
      <c r="BA197" s="1259"/>
      <c r="BC197" s="1259"/>
      <c r="BE197" s="1259"/>
      <c r="BF197" s="1259"/>
      <c r="BG197" s="1259"/>
    </row>
    <row r="198" spans="18:59" x14ac:dyDescent="0.25">
      <c r="R198" s="1259"/>
      <c r="S198" s="1259"/>
      <c r="W198" s="1259"/>
      <c r="X198" s="1259"/>
      <c r="AE198" s="1259"/>
      <c r="AF198" s="1259"/>
      <c r="AV198" s="1259"/>
      <c r="AW198" s="1259"/>
      <c r="AX198" s="1259"/>
      <c r="AY198" s="1259"/>
      <c r="AZ198" s="1259"/>
      <c r="BA198" s="1259"/>
      <c r="BC198" s="1259"/>
      <c r="BE198" s="1259"/>
      <c r="BF198" s="1259"/>
      <c r="BG198" s="1259"/>
    </row>
    <row r="199" spans="18:59" x14ac:dyDescent="0.25">
      <c r="R199" s="1259"/>
      <c r="S199" s="1259"/>
      <c r="W199" s="1259"/>
      <c r="X199" s="1259"/>
      <c r="AE199" s="1259"/>
      <c r="AF199" s="1259"/>
      <c r="AV199" s="1259"/>
      <c r="AW199" s="1259"/>
      <c r="AX199" s="1259"/>
      <c r="AY199" s="1259"/>
      <c r="AZ199" s="1259"/>
      <c r="BA199" s="1259"/>
      <c r="BC199" s="1259"/>
      <c r="BE199" s="1259"/>
      <c r="BF199" s="1259"/>
      <c r="BG199" s="1259"/>
    </row>
    <row r="200" spans="18:59" x14ac:dyDescent="0.25">
      <c r="R200" s="1259"/>
      <c r="S200" s="1259"/>
      <c r="W200" s="1259"/>
      <c r="X200" s="1259"/>
      <c r="AE200" s="1259"/>
      <c r="AF200" s="1259"/>
      <c r="AV200" s="1259"/>
      <c r="AW200" s="1259"/>
      <c r="AX200" s="1259"/>
      <c r="AY200" s="1259"/>
      <c r="AZ200" s="1259"/>
      <c r="BA200" s="1259"/>
      <c r="BC200" s="1259"/>
      <c r="BE200" s="1259"/>
      <c r="BF200" s="1259"/>
      <c r="BG200" s="1259"/>
    </row>
    <row r="201" spans="18:59" x14ac:dyDescent="0.25">
      <c r="R201" s="1259"/>
      <c r="S201" s="1259"/>
      <c r="W201" s="1259"/>
      <c r="X201" s="1259"/>
      <c r="AE201" s="1259"/>
      <c r="AF201" s="1259"/>
      <c r="AV201" s="1259"/>
      <c r="AW201" s="1259"/>
      <c r="AX201" s="1259"/>
      <c r="AY201" s="1259"/>
      <c r="AZ201" s="1259"/>
      <c r="BA201" s="1259"/>
      <c r="BC201" s="1259"/>
      <c r="BE201" s="1259"/>
      <c r="BF201" s="1259"/>
      <c r="BG201" s="1259"/>
    </row>
    <row r="202" spans="18:59" x14ac:dyDescent="0.25">
      <c r="R202" s="1259"/>
      <c r="S202" s="1259"/>
      <c r="W202" s="1259"/>
      <c r="X202" s="1259"/>
      <c r="AE202" s="1259"/>
      <c r="AF202" s="1259"/>
      <c r="AV202" s="1259"/>
      <c r="AW202" s="1259"/>
      <c r="AX202" s="1259"/>
      <c r="AY202" s="1259"/>
      <c r="AZ202" s="1259"/>
      <c r="BA202" s="1259"/>
      <c r="BC202" s="1259"/>
      <c r="BE202" s="1259"/>
      <c r="BF202" s="1259"/>
      <c r="BG202" s="1259"/>
    </row>
    <row r="203" spans="18:59" x14ac:dyDescent="0.25">
      <c r="R203" s="1259"/>
      <c r="S203" s="1259"/>
      <c r="W203" s="1259"/>
      <c r="X203" s="1259"/>
      <c r="AE203" s="1259"/>
      <c r="AF203" s="1259"/>
      <c r="AV203" s="1259"/>
      <c r="AW203" s="1259"/>
      <c r="AX203" s="1259"/>
      <c r="AY203" s="1259"/>
      <c r="AZ203" s="1259"/>
      <c r="BA203" s="1259"/>
      <c r="BC203" s="1259"/>
      <c r="BE203" s="1259"/>
      <c r="BF203" s="1259"/>
      <c r="BG203" s="1259"/>
    </row>
    <row r="204" spans="18:59" x14ac:dyDescent="0.25">
      <c r="R204" s="1259"/>
      <c r="S204" s="1259"/>
      <c r="W204" s="1259"/>
      <c r="X204" s="1259"/>
      <c r="AE204" s="1259"/>
      <c r="AF204" s="1259"/>
      <c r="AV204" s="1259"/>
      <c r="AW204" s="1259"/>
      <c r="AX204" s="1259"/>
      <c r="AY204" s="1259"/>
      <c r="AZ204" s="1259"/>
      <c r="BA204" s="1259"/>
      <c r="BC204" s="1259"/>
      <c r="BE204" s="1259"/>
      <c r="BF204" s="1259"/>
      <c r="BG204" s="1259"/>
    </row>
    <row r="205" spans="18:59" x14ac:dyDescent="0.25">
      <c r="R205" s="1259"/>
      <c r="S205" s="1259"/>
      <c r="W205" s="1259"/>
      <c r="X205" s="1259"/>
      <c r="AE205" s="1259"/>
      <c r="AF205" s="1259"/>
      <c r="AV205" s="1259"/>
      <c r="AW205" s="1259"/>
      <c r="AX205" s="1259"/>
      <c r="AY205" s="1259"/>
      <c r="AZ205" s="1259"/>
      <c r="BA205" s="1259"/>
      <c r="BC205" s="1259"/>
      <c r="BE205" s="1259"/>
      <c r="BF205" s="1259"/>
      <c r="BG205" s="1259"/>
    </row>
    <row r="206" spans="18:59" x14ac:dyDescent="0.25">
      <c r="R206" s="1259"/>
      <c r="S206" s="1259"/>
      <c r="W206" s="1259"/>
      <c r="X206" s="1259"/>
      <c r="AE206" s="1259"/>
      <c r="AF206" s="1259"/>
      <c r="AV206" s="1259"/>
      <c r="AW206" s="1259"/>
      <c r="AX206" s="1259"/>
      <c r="AY206" s="1259"/>
      <c r="AZ206" s="1259"/>
      <c r="BA206" s="1259"/>
      <c r="BC206" s="1259"/>
      <c r="BE206" s="1259"/>
      <c r="BF206" s="1259"/>
      <c r="BG206" s="1259"/>
    </row>
    <row r="207" spans="18:59" x14ac:dyDescent="0.25">
      <c r="R207" s="1259"/>
      <c r="S207" s="1259"/>
      <c r="W207" s="1259"/>
      <c r="X207" s="1259"/>
      <c r="AE207" s="1259"/>
      <c r="AF207" s="1259"/>
      <c r="AV207" s="1259"/>
      <c r="AW207" s="1259"/>
      <c r="AX207" s="1259"/>
      <c r="AY207" s="1259"/>
      <c r="AZ207" s="1259"/>
      <c r="BA207" s="1259"/>
      <c r="BC207" s="1259"/>
      <c r="BE207" s="1259"/>
      <c r="BF207" s="1259"/>
      <c r="BG207" s="1259"/>
    </row>
    <row r="208" spans="18:59" x14ac:dyDescent="0.25">
      <c r="R208" s="1259"/>
      <c r="S208" s="1259"/>
      <c r="W208" s="1259"/>
      <c r="X208" s="1259"/>
      <c r="AE208" s="1259"/>
      <c r="AF208" s="1259"/>
      <c r="AV208" s="1259"/>
      <c r="AW208" s="1259"/>
      <c r="AX208" s="1259"/>
      <c r="AY208" s="1259"/>
      <c r="AZ208" s="1259"/>
      <c r="BA208" s="1259"/>
      <c r="BC208" s="1259"/>
      <c r="BE208" s="1259"/>
      <c r="BF208" s="1259"/>
      <c r="BG208" s="1259"/>
    </row>
    <row r="209" spans="18:59" x14ac:dyDescent="0.25">
      <c r="R209" s="1259"/>
      <c r="S209" s="1259"/>
      <c r="W209" s="1259"/>
      <c r="X209" s="1259"/>
      <c r="AE209" s="1259"/>
      <c r="AF209" s="1259"/>
      <c r="AV209" s="1259"/>
      <c r="AW209" s="1259"/>
      <c r="AX209" s="1259"/>
      <c r="AY209" s="1259"/>
      <c r="AZ209" s="1259"/>
      <c r="BA209" s="1259"/>
      <c r="BC209" s="1259"/>
      <c r="BE209" s="1259"/>
      <c r="BF209" s="1259"/>
      <c r="BG209" s="1259"/>
    </row>
    <row r="210" spans="18:59" x14ac:dyDescent="0.25">
      <c r="R210" s="1259"/>
      <c r="S210" s="1259"/>
      <c r="W210" s="1259"/>
      <c r="X210" s="1259"/>
      <c r="AE210" s="1259"/>
      <c r="AF210" s="1259"/>
      <c r="AV210" s="1259"/>
      <c r="AW210" s="1259"/>
      <c r="AX210" s="1259"/>
      <c r="AY210" s="1259"/>
      <c r="AZ210" s="1259"/>
      <c r="BA210" s="1259"/>
      <c r="BC210" s="1259"/>
      <c r="BE210" s="1259"/>
      <c r="BF210" s="1259"/>
      <c r="BG210" s="1259"/>
    </row>
    <row r="211" spans="18:59" x14ac:dyDescent="0.25">
      <c r="R211" s="1259"/>
      <c r="S211" s="1259"/>
      <c r="W211" s="1259"/>
      <c r="X211" s="1259"/>
      <c r="AE211" s="1259"/>
      <c r="AF211" s="1259"/>
      <c r="AV211" s="1259"/>
      <c r="AW211" s="1259"/>
      <c r="AX211" s="1259"/>
      <c r="AY211" s="1259"/>
      <c r="AZ211" s="1259"/>
      <c r="BA211" s="1259"/>
      <c r="BC211" s="1259"/>
      <c r="BE211" s="1259"/>
      <c r="BF211" s="1259"/>
      <c r="BG211" s="1259"/>
    </row>
    <row r="212" spans="18:59" x14ac:dyDescent="0.25">
      <c r="R212" s="1259"/>
      <c r="S212" s="1259"/>
      <c r="W212" s="1259"/>
      <c r="X212" s="1259"/>
      <c r="AE212" s="1259"/>
      <c r="AF212" s="1259"/>
      <c r="AV212" s="1259"/>
      <c r="AW212" s="1259"/>
      <c r="AX212" s="1259"/>
      <c r="AY212" s="1259"/>
      <c r="AZ212" s="1259"/>
      <c r="BA212" s="1259"/>
      <c r="BC212" s="1259"/>
      <c r="BE212" s="1259"/>
      <c r="BF212" s="1259"/>
      <c r="BG212" s="1259"/>
    </row>
    <row r="213" spans="18:59" x14ac:dyDescent="0.25">
      <c r="R213" s="1259"/>
      <c r="S213" s="1259"/>
      <c r="W213" s="1259"/>
      <c r="X213" s="1259"/>
      <c r="AE213" s="1259"/>
      <c r="AF213" s="1259"/>
      <c r="AV213" s="1259"/>
      <c r="AW213" s="1259"/>
      <c r="AX213" s="1259"/>
      <c r="AY213" s="1259"/>
      <c r="AZ213" s="1259"/>
      <c r="BA213" s="1259"/>
      <c r="BC213" s="1259"/>
      <c r="BE213" s="1259"/>
      <c r="BF213" s="1259"/>
      <c r="BG213" s="1259"/>
    </row>
    <row r="214" spans="18:59" x14ac:dyDescent="0.25">
      <c r="R214" s="1259"/>
      <c r="S214" s="1259"/>
      <c r="W214" s="1259"/>
      <c r="X214" s="1259"/>
      <c r="AE214" s="1259"/>
      <c r="AF214" s="1259"/>
      <c r="AV214" s="1259"/>
      <c r="AW214" s="1259"/>
      <c r="AX214" s="1259"/>
      <c r="AY214" s="1259"/>
      <c r="AZ214" s="1259"/>
      <c r="BA214" s="1259"/>
      <c r="BC214" s="1259"/>
      <c r="BE214" s="1259"/>
      <c r="BF214" s="1259"/>
      <c r="BG214" s="1259"/>
    </row>
    <row r="215" spans="18:59" x14ac:dyDescent="0.25">
      <c r="R215" s="1259"/>
      <c r="S215" s="1259"/>
      <c r="W215" s="1259"/>
      <c r="X215" s="1259"/>
      <c r="AE215" s="1259"/>
      <c r="AF215" s="1259"/>
      <c r="AV215" s="1259"/>
      <c r="AW215" s="1259"/>
      <c r="AX215" s="1259"/>
      <c r="AY215" s="1259"/>
      <c r="AZ215" s="1259"/>
      <c r="BA215" s="1259"/>
      <c r="BC215" s="1259"/>
      <c r="BE215" s="1259"/>
      <c r="BF215" s="1259"/>
      <c r="BG215" s="1259"/>
    </row>
    <row r="216" spans="18:59" x14ac:dyDescent="0.25">
      <c r="R216" s="1259"/>
      <c r="S216" s="1259"/>
      <c r="W216" s="1259"/>
      <c r="X216" s="1259"/>
      <c r="AE216" s="1259"/>
      <c r="AF216" s="1259"/>
      <c r="AV216" s="1259"/>
      <c r="AW216" s="1259"/>
      <c r="AX216" s="1259"/>
      <c r="AY216" s="1259"/>
      <c r="AZ216" s="1259"/>
      <c r="BA216" s="1259"/>
      <c r="BC216" s="1259"/>
      <c r="BE216" s="1259"/>
      <c r="BF216" s="1259"/>
      <c r="BG216" s="1259"/>
    </row>
    <row r="217" spans="18:59" x14ac:dyDescent="0.25">
      <c r="R217" s="1259"/>
      <c r="S217" s="1259"/>
      <c r="W217" s="1259"/>
      <c r="X217" s="1259"/>
      <c r="AE217" s="1259"/>
      <c r="AF217" s="1259"/>
      <c r="AV217" s="1259"/>
      <c r="AW217" s="1259"/>
      <c r="AX217" s="1259"/>
      <c r="AY217" s="1259"/>
      <c r="AZ217" s="1259"/>
      <c r="BA217" s="1259"/>
      <c r="BC217" s="1259"/>
      <c r="BE217" s="1259"/>
      <c r="BF217" s="1259"/>
      <c r="BG217" s="1259"/>
    </row>
    <row r="218" spans="18:59" x14ac:dyDescent="0.25">
      <c r="R218" s="1259"/>
      <c r="S218" s="1259"/>
      <c r="W218" s="1259"/>
      <c r="X218" s="1259"/>
      <c r="AE218" s="1259"/>
      <c r="AF218" s="1259"/>
      <c r="AV218" s="1259"/>
      <c r="AW218" s="1259"/>
      <c r="AX218" s="1259"/>
      <c r="AY218" s="1259"/>
      <c r="AZ218" s="1259"/>
      <c r="BA218" s="1259"/>
      <c r="BC218" s="1259"/>
      <c r="BE218" s="1259"/>
      <c r="BF218" s="1259"/>
      <c r="BG218" s="1259"/>
    </row>
    <row r="219" spans="18:59" x14ac:dyDescent="0.25">
      <c r="R219" s="1259"/>
      <c r="S219" s="1259"/>
      <c r="W219" s="1259"/>
      <c r="X219" s="1259"/>
      <c r="AE219" s="1259"/>
      <c r="AF219" s="1259"/>
      <c r="AV219" s="1259"/>
      <c r="AW219" s="1259"/>
      <c r="AX219" s="1259"/>
      <c r="AY219" s="1259"/>
      <c r="AZ219" s="1259"/>
      <c r="BA219" s="1259"/>
      <c r="BC219" s="1259"/>
      <c r="BE219" s="1259"/>
      <c r="BF219" s="1259"/>
      <c r="BG219" s="1259"/>
    </row>
    <row r="220" spans="18:59" x14ac:dyDescent="0.25">
      <c r="R220" s="1259"/>
      <c r="S220" s="1259"/>
      <c r="W220" s="1259"/>
      <c r="X220" s="1259"/>
      <c r="AE220" s="1259"/>
      <c r="AF220" s="1259"/>
      <c r="AV220" s="1259"/>
      <c r="AW220" s="1259"/>
      <c r="AX220" s="1259"/>
      <c r="AY220" s="1259"/>
      <c r="AZ220" s="1259"/>
      <c r="BA220" s="1259"/>
      <c r="BC220" s="1259"/>
      <c r="BE220" s="1259"/>
      <c r="BF220" s="1259"/>
      <c r="BG220" s="1259"/>
    </row>
    <row r="221" spans="18:59" x14ac:dyDescent="0.25">
      <c r="R221" s="1259"/>
      <c r="S221" s="1259"/>
      <c r="W221" s="1259"/>
      <c r="X221" s="1259"/>
      <c r="AE221" s="1259"/>
      <c r="AF221" s="1259"/>
      <c r="AV221" s="1259"/>
      <c r="AW221" s="1259"/>
      <c r="AX221" s="1259"/>
      <c r="AY221" s="1259"/>
      <c r="AZ221" s="1259"/>
      <c r="BA221" s="1259"/>
      <c r="BC221" s="1259"/>
      <c r="BE221" s="1259"/>
      <c r="BF221" s="1259"/>
      <c r="BG221" s="1259"/>
    </row>
    <row r="222" spans="18:59" x14ac:dyDescent="0.25">
      <c r="R222" s="1259"/>
      <c r="S222" s="1259"/>
      <c r="W222" s="1259"/>
      <c r="X222" s="1259"/>
      <c r="AE222" s="1259"/>
      <c r="AF222" s="1259"/>
      <c r="AV222" s="1259"/>
      <c r="AW222" s="1259"/>
      <c r="AX222" s="1259"/>
      <c r="AY222" s="1259"/>
      <c r="AZ222" s="1259"/>
      <c r="BA222" s="1259"/>
      <c r="BC222" s="1259"/>
      <c r="BE222" s="1259"/>
      <c r="BF222" s="1259"/>
      <c r="BG222" s="1259"/>
    </row>
    <row r="223" spans="18:59" x14ac:dyDescent="0.25">
      <c r="R223" s="1259"/>
      <c r="S223" s="1259"/>
      <c r="W223" s="1259"/>
      <c r="X223" s="1259"/>
      <c r="AE223" s="1259"/>
      <c r="AF223" s="1259"/>
      <c r="AV223" s="1259"/>
      <c r="AW223" s="1259"/>
      <c r="AX223" s="1259"/>
      <c r="AY223" s="1259"/>
      <c r="AZ223" s="1259"/>
      <c r="BA223" s="1259"/>
      <c r="BC223" s="1259"/>
      <c r="BE223" s="1259"/>
      <c r="BF223" s="1259"/>
      <c r="BG223" s="1259"/>
    </row>
    <row r="224" spans="18:59" x14ac:dyDescent="0.25">
      <c r="R224" s="1259"/>
      <c r="S224" s="1259"/>
      <c r="W224" s="1259"/>
      <c r="X224" s="1259"/>
      <c r="AE224" s="1259"/>
      <c r="AF224" s="1259"/>
      <c r="AV224" s="1259"/>
      <c r="AW224" s="1259"/>
      <c r="AX224" s="1259"/>
      <c r="AY224" s="1259"/>
      <c r="AZ224" s="1259"/>
      <c r="BA224" s="1259"/>
      <c r="BC224" s="1259"/>
      <c r="BE224" s="1259"/>
      <c r="BF224" s="1259"/>
      <c r="BG224" s="1259"/>
    </row>
    <row r="225" spans="18:59" x14ac:dyDescent="0.25">
      <c r="R225" s="1259"/>
      <c r="S225" s="1259"/>
      <c r="W225" s="1259"/>
      <c r="X225" s="1259"/>
      <c r="AE225" s="1259"/>
      <c r="AF225" s="1259"/>
      <c r="AV225" s="1259"/>
      <c r="AW225" s="1259"/>
      <c r="AX225" s="1259"/>
      <c r="AY225" s="1259"/>
      <c r="AZ225" s="1259"/>
      <c r="BA225" s="1259"/>
      <c r="BC225" s="1259"/>
      <c r="BE225" s="1259"/>
      <c r="BF225" s="1259"/>
      <c r="BG225" s="1259"/>
    </row>
    <row r="226" spans="18:59" x14ac:dyDescent="0.25">
      <c r="R226" s="1259"/>
      <c r="S226" s="1259"/>
      <c r="W226" s="1259"/>
      <c r="X226" s="1259"/>
      <c r="AE226" s="1259"/>
      <c r="AF226" s="1259"/>
      <c r="AV226" s="1259"/>
      <c r="AW226" s="1259"/>
      <c r="AX226" s="1259"/>
      <c r="AY226" s="1259"/>
      <c r="AZ226" s="1259"/>
      <c r="BA226" s="1259"/>
      <c r="BC226" s="1259"/>
      <c r="BE226" s="1259"/>
      <c r="BF226" s="1259"/>
      <c r="BG226" s="1259"/>
    </row>
    <row r="227" spans="18:59" x14ac:dyDescent="0.25">
      <c r="R227" s="1259"/>
      <c r="S227" s="1259"/>
      <c r="W227" s="1259"/>
      <c r="X227" s="1259"/>
      <c r="AE227" s="1259"/>
      <c r="AF227" s="1259"/>
      <c r="AV227" s="1259"/>
      <c r="AW227" s="1259"/>
      <c r="AX227" s="1259"/>
      <c r="AY227" s="1259"/>
      <c r="AZ227" s="1259"/>
      <c r="BA227" s="1259"/>
      <c r="BC227" s="1259"/>
      <c r="BE227" s="1259"/>
      <c r="BF227" s="1259"/>
      <c r="BG227" s="1259"/>
    </row>
    <row r="228" spans="18:59" x14ac:dyDescent="0.25">
      <c r="R228" s="1259"/>
      <c r="S228" s="1259"/>
      <c r="W228" s="1259"/>
      <c r="X228" s="1259"/>
      <c r="AE228" s="1259"/>
      <c r="AF228" s="1259"/>
      <c r="AV228" s="1259"/>
      <c r="AW228" s="1259"/>
      <c r="AX228" s="1259"/>
      <c r="AY228" s="1259"/>
      <c r="AZ228" s="1259"/>
      <c r="BA228" s="1259"/>
      <c r="BC228" s="1259"/>
      <c r="BE228" s="1259"/>
      <c r="BF228" s="1259"/>
      <c r="BG228" s="1259"/>
    </row>
    <row r="229" spans="18:59" x14ac:dyDescent="0.25">
      <c r="R229" s="1259"/>
      <c r="S229" s="1259"/>
      <c r="W229" s="1259"/>
      <c r="X229" s="1259"/>
      <c r="AE229" s="1259"/>
      <c r="AF229" s="1259"/>
      <c r="AV229" s="1259"/>
      <c r="AW229" s="1259"/>
      <c r="AX229" s="1259"/>
      <c r="AY229" s="1259"/>
      <c r="AZ229" s="1259"/>
      <c r="BA229" s="1259"/>
      <c r="BC229" s="1259"/>
      <c r="BE229" s="1259"/>
      <c r="BF229" s="1259"/>
      <c r="BG229" s="1259"/>
    </row>
    <row r="230" spans="18:59" x14ac:dyDescent="0.25">
      <c r="R230" s="1259"/>
      <c r="S230" s="1259"/>
      <c r="W230" s="1259"/>
      <c r="X230" s="1259"/>
      <c r="AE230" s="1259"/>
      <c r="AF230" s="1259"/>
      <c r="AV230" s="1259"/>
      <c r="AW230" s="1259"/>
      <c r="AX230" s="1259"/>
      <c r="AY230" s="1259"/>
      <c r="AZ230" s="1259"/>
      <c r="BA230" s="1259"/>
      <c r="BC230" s="1259"/>
      <c r="BE230" s="1259"/>
      <c r="BF230" s="1259"/>
      <c r="BG230" s="1259"/>
    </row>
    <row r="231" spans="18:59" x14ac:dyDescent="0.25">
      <c r="R231" s="1259"/>
      <c r="S231" s="1259"/>
      <c r="W231" s="1259"/>
      <c r="X231" s="1259"/>
      <c r="AE231" s="1259"/>
      <c r="AF231" s="1259"/>
      <c r="AV231" s="1259"/>
      <c r="AW231" s="1259"/>
      <c r="AX231" s="1259"/>
      <c r="AY231" s="1259"/>
      <c r="AZ231" s="1259"/>
      <c r="BA231" s="1259"/>
      <c r="BC231" s="1259"/>
      <c r="BE231" s="1259"/>
      <c r="BF231" s="1259"/>
      <c r="BG231" s="1259"/>
    </row>
    <row r="232" spans="18:59" x14ac:dyDescent="0.25">
      <c r="R232" s="1259"/>
      <c r="S232" s="1259"/>
      <c r="W232" s="1259"/>
      <c r="X232" s="1259"/>
      <c r="AE232" s="1259"/>
      <c r="AF232" s="1259"/>
      <c r="AV232" s="1259"/>
      <c r="AW232" s="1259"/>
      <c r="AX232" s="1259"/>
      <c r="AY232" s="1259"/>
      <c r="AZ232" s="1259"/>
      <c r="BA232" s="1259"/>
      <c r="BC232" s="1259"/>
      <c r="BE232" s="1259"/>
      <c r="BF232" s="1259"/>
      <c r="BG232" s="1259"/>
    </row>
    <row r="233" spans="18:59" x14ac:dyDescent="0.25">
      <c r="R233" s="1259"/>
      <c r="S233" s="1259"/>
      <c r="W233" s="1259"/>
      <c r="X233" s="1259"/>
      <c r="AE233" s="1259"/>
      <c r="AF233" s="1259"/>
      <c r="AV233" s="1259"/>
      <c r="AW233" s="1259"/>
      <c r="AX233" s="1259"/>
      <c r="AY233" s="1259"/>
      <c r="AZ233" s="1259"/>
      <c r="BA233" s="1259"/>
      <c r="BC233" s="1259"/>
      <c r="BE233" s="1259"/>
      <c r="BF233" s="1259"/>
      <c r="BG233" s="1259"/>
    </row>
    <row r="234" spans="18:59" x14ac:dyDescent="0.25">
      <c r="R234" s="1259"/>
      <c r="S234" s="1259"/>
      <c r="W234" s="1259"/>
      <c r="X234" s="1259"/>
      <c r="AE234" s="1259"/>
      <c r="AF234" s="1259"/>
      <c r="AV234" s="1259"/>
      <c r="AW234" s="1259"/>
      <c r="AX234" s="1259"/>
      <c r="AY234" s="1259"/>
      <c r="AZ234" s="1259"/>
      <c r="BA234" s="1259"/>
      <c r="BC234" s="1259"/>
      <c r="BE234" s="1259"/>
      <c r="BF234" s="1259"/>
      <c r="BG234" s="1259"/>
    </row>
    <row r="235" spans="18:59" x14ac:dyDescent="0.25">
      <c r="R235" s="1259"/>
      <c r="S235" s="1259"/>
      <c r="W235" s="1259"/>
      <c r="X235" s="1259"/>
      <c r="AE235" s="1259"/>
      <c r="AF235" s="1259"/>
      <c r="AV235" s="1259"/>
      <c r="AW235" s="1259"/>
      <c r="AX235" s="1259"/>
      <c r="AY235" s="1259"/>
      <c r="AZ235" s="1259"/>
      <c r="BA235" s="1259"/>
      <c r="BC235" s="1259"/>
      <c r="BE235" s="1259"/>
      <c r="BF235" s="1259"/>
      <c r="BG235" s="1259"/>
    </row>
    <row r="236" spans="18:59" x14ac:dyDescent="0.25">
      <c r="R236" s="1259"/>
      <c r="S236" s="1259"/>
      <c r="W236" s="1259"/>
      <c r="X236" s="1259"/>
      <c r="AE236" s="1259"/>
      <c r="AF236" s="1259"/>
      <c r="AV236" s="1259"/>
      <c r="AW236" s="1259"/>
      <c r="AX236" s="1259"/>
      <c r="AY236" s="1259"/>
      <c r="AZ236" s="1259"/>
      <c r="BA236" s="1259"/>
      <c r="BC236" s="1259"/>
      <c r="BE236" s="1259"/>
      <c r="BF236" s="1259"/>
      <c r="BG236" s="1259"/>
    </row>
    <row r="237" spans="18:59" x14ac:dyDescent="0.25">
      <c r="R237" s="1259"/>
      <c r="S237" s="1259"/>
      <c r="W237" s="1259"/>
      <c r="X237" s="1259"/>
      <c r="AE237" s="1259"/>
      <c r="AF237" s="1259"/>
      <c r="AV237" s="1259"/>
      <c r="AW237" s="1259"/>
      <c r="AX237" s="1259"/>
      <c r="AY237" s="1259"/>
      <c r="AZ237" s="1259"/>
      <c r="BA237" s="1259"/>
      <c r="BC237" s="1259"/>
      <c r="BE237" s="1259"/>
      <c r="BF237" s="1259"/>
      <c r="BG237" s="1259"/>
    </row>
    <row r="238" spans="18:59" x14ac:dyDescent="0.25">
      <c r="R238" s="1259"/>
      <c r="S238" s="1259"/>
      <c r="W238" s="1259"/>
      <c r="X238" s="1259"/>
      <c r="AE238" s="1259"/>
      <c r="AF238" s="1259"/>
      <c r="AV238" s="1259"/>
      <c r="AW238" s="1259"/>
      <c r="AX238" s="1259"/>
      <c r="AY238" s="1259"/>
      <c r="AZ238" s="1259"/>
      <c r="BA238" s="1259"/>
      <c r="BC238" s="1259"/>
      <c r="BE238" s="1259"/>
      <c r="BF238" s="1259"/>
      <c r="BG238" s="1259"/>
    </row>
    <row r="239" spans="18:59" x14ac:dyDescent="0.25">
      <c r="R239" s="1259"/>
      <c r="S239" s="1259"/>
      <c r="W239" s="1259"/>
      <c r="X239" s="1259"/>
      <c r="AE239" s="1259"/>
      <c r="AF239" s="1259"/>
      <c r="AV239" s="1259"/>
      <c r="AW239" s="1259"/>
      <c r="AX239" s="1259"/>
      <c r="AY239" s="1259"/>
      <c r="AZ239" s="1259"/>
      <c r="BA239" s="1259"/>
      <c r="BC239" s="1259"/>
      <c r="BE239" s="1259"/>
      <c r="BF239" s="1259"/>
      <c r="BG239" s="1259"/>
    </row>
    <row r="240" spans="18:59" x14ac:dyDescent="0.25">
      <c r="R240" s="1259"/>
      <c r="S240" s="1259"/>
      <c r="W240" s="1259"/>
      <c r="X240" s="1259"/>
      <c r="AE240" s="1259"/>
      <c r="AF240" s="1259"/>
      <c r="AV240" s="1259"/>
      <c r="AW240" s="1259"/>
      <c r="AX240" s="1259"/>
      <c r="AY240" s="1259"/>
      <c r="AZ240" s="1259"/>
      <c r="BA240" s="1259"/>
      <c r="BC240" s="1259"/>
      <c r="BE240" s="1259"/>
      <c r="BF240" s="1259"/>
      <c r="BG240" s="1259"/>
    </row>
    <row r="241" spans="18:59" x14ac:dyDescent="0.25">
      <c r="R241" s="1259"/>
      <c r="S241" s="1259"/>
      <c r="W241" s="1259"/>
      <c r="X241" s="1259"/>
      <c r="AE241" s="1259"/>
      <c r="AF241" s="1259"/>
      <c r="AV241" s="1259"/>
      <c r="AW241" s="1259"/>
      <c r="AX241" s="1259"/>
      <c r="AY241" s="1259"/>
      <c r="AZ241" s="1259"/>
      <c r="BA241" s="1259"/>
      <c r="BC241" s="1259"/>
      <c r="BE241" s="1259"/>
      <c r="BF241" s="1259"/>
      <c r="BG241" s="1259"/>
    </row>
    <row r="242" spans="18:59" x14ac:dyDescent="0.25">
      <c r="R242" s="1259"/>
      <c r="S242" s="1259"/>
      <c r="W242" s="1259"/>
      <c r="X242" s="1259"/>
      <c r="AE242" s="1259"/>
      <c r="AF242" s="1259"/>
      <c r="AV242" s="1259"/>
      <c r="AW242" s="1259"/>
      <c r="AX242" s="1259"/>
      <c r="AY242" s="1259"/>
      <c r="AZ242" s="1259"/>
      <c r="BA242" s="1259"/>
      <c r="BC242" s="1259"/>
      <c r="BE242" s="1259"/>
      <c r="BF242" s="1259"/>
      <c r="BG242" s="1259"/>
    </row>
    <row r="243" spans="18:59" x14ac:dyDescent="0.25">
      <c r="R243" s="1259"/>
      <c r="S243" s="1259"/>
      <c r="W243" s="1259"/>
      <c r="X243" s="1259"/>
      <c r="AE243" s="1259"/>
      <c r="AF243" s="1259"/>
      <c r="AV243" s="1259"/>
      <c r="AW243" s="1259"/>
      <c r="AX243" s="1259"/>
      <c r="AY243" s="1259"/>
      <c r="AZ243" s="1259"/>
      <c r="BA243" s="1259"/>
      <c r="BC243" s="1259"/>
      <c r="BE243" s="1259"/>
      <c r="BF243" s="1259"/>
      <c r="BG243" s="1259"/>
    </row>
    <row r="244" spans="18:59" x14ac:dyDescent="0.25">
      <c r="R244" s="1259"/>
      <c r="S244" s="1259"/>
      <c r="W244" s="1259"/>
      <c r="X244" s="1259"/>
      <c r="AE244" s="1259"/>
      <c r="AF244" s="1259"/>
      <c r="AV244" s="1259"/>
      <c r="AW244" s="1259"/>
      <c r="AX244" s="1259"/>
      <c r="AY244" s="1259"/>
      <c r="AZ244" s="1259"/>
      <c r="BA244" s="1259"/>
      <c r="BC244" s="1259"/>
      <c r="BE244" s="1259"/>
      <c r="BF244" s="1259"/>
      <c r="BG244" s="1259"/>
    </row>
    <row r="245" spans="18:59" x14ac:dyDescent="0.25">
      <c r="R245" s="1259"/>
      <c r="S245" s="1259"/>
      <c r="W245" s="1259"/>
      <c r="X245" s="1259"/>
      <c r="AE245" s="1259"/>
      <c r="AF245" s="1259"/>
      <c r="AV245" s="1259"/>
      <c r="AW245" s="1259"/>
      <c r="AX245" s="1259"/>
      <c r="AY245" s="1259"/>
      <c r="AZ245" s="1259"/>
      <c r="BA245" s="1259"/>
      <c r="BC245" s="1259"/>
      <c r="BE245" s="1259"/>
      <c r="BF245" s="1259"/>
      <c r="BG245" s="1259"/>
    </row>
    <row r="246" spans="18:59" x14ac:dyDescent="0.25">
      <c r="R246" s="1259"/>
      <c r="S246" s="1259"/>
      <c r="W246" s="1259"/>
      <c r="X246" s="1259"/>
      <c r="AE246" s="1259"/>
      <c r="AF246" s="1259"/>
      <c r="AV246" s="1259"/>
      <c r="AW246" s="1259"/>
      <c r="AX246" s="1259"/>
      <c r="AY246" s="1259"/>
      <c r="AZ246" s="1259"/>
      <c r="BA246" s="1259"/>
      <c r="BC246" s="1259"/>
      <c r="BE246" s="1259"/>
      <c r="BF246" s="1259"/>
      <c r="BG246" s="1259"/>
    </row>
    <row r="247" spans="18:59" x14ac:dyDescent="0.25">
      <c r="R247" s="1259"/>
      <c r="S247" s="1259"/>
      <c r="W247" s="1259"/>
      <c r="X247" s="1259"/>
      <c r="AE247" s="1259"/>
      <c r="AF247" s="1259"/>
      <c r="AV247" s="1259"/>
      <c r="AW247" s="1259"/>
      <c r="AX247" s="1259"/>
      <c r="AY247" s="1259"/>
      <c r="AZ247" s="1259"/>
      <c r="BA247" s="1259"/>
      <c r="BC247" s="1259"/>
      <c r="BE247" s="1259"/>
      <c r="BF247" s="1259"/>
      <c r="BG247" s="1259"/>
    </row>
    <row r="248" spans="18:59" x14ac:dyDescent="0.25">
      <c r="R248" s="1259"/>
      <c r="S248" s="1259"/>
      <c r="W248" s="1259"/>
      <c r="X248" s="1259"/>
      <c r="AE248" s="1259"/>
      <c r="AF248" s="1259"/>
      <c r="AV248" s="1259"/>
      <c r="AW248" s="1259"/>
      <c r="AX248" s="1259"/>
      <c r="AY248" s="1259"/>
      <c r="AZ248" s="1259"/>
      <c r="BA248" s="1259"/>
      <c r="BC248" s="1259"/>
      <c r="BE248" s="1259"/>
      <c r="BF248" s="1259"/>
      <c r="BG248" s="1259"/>
    </row>
    <row r="249" spans="18:59" x14ac:dyDescent="0.25">
      <c r="R249" s="1259"/>
      <c r="S249" s="1259"/>
      <c r="W249" s="1259"/>
      <c r="X249" s="1259"/>
      <c r="AE249" s="1259"/>
      <c r="AF249" s="1259"/>
      <c r="AV249" s="1259"/>
      <c r="AW249" s="1259"/>
      <c r="AX249" s="1259"/>
      <c r="AY249" s="1259"/>
      <c r="AZ249" s="1259"/>
      <c r="BA249" s="1259"/>
      <c r="BC249" s="1259"/>
      <c r="BE249" s="1259"/>
      <c r="BF249" s="1259"/>
      <c r="BG249" s="1259"/>
    </row>
    <row r="250" spans="18:59" x14ac:dyDescent="0.25">
      <c r="R250" s="1259"/>
      <c r="S250" s="1259"/>
      <c r="W250" s="1259"/>
      <c r="X250" s="1259"/>
      <c r="AE250" s="1259"/>
      <c r="AF250" s="1259"/>
      <c r="AV250" s="1259"/>
      <c r="AW250" s="1259"/>
      <c r="AX250" s="1259"/>
      <c r="AY250" s="1259"/>
      <c r="AZ250" s="1259"/>
      <c r="BA250" s="1259"/>
      <c r="BC250" s="1259"/>
      <c r="BE250" s="1259"/>
      <c r="BF250" s="1259"/>
      <c r="BG250" s="1259"/>
    </row>
    <row r="251" spans="18:59" x14ac:dyDescent="0.25">
      <c r="R251" s="1259"/>
      <c r="S251" s="1259"/>
      <c r="W251" s="1259"/>
      <c r="X251" s="1259"/>
      <c r="AE251" s="1259"/>
      <c r="AF251" s="1259"/>
      <c r="AV251" s="1259"/>
      <c r="AW251" s="1259"/>
      <c r="AX251" s="1259"/>
      <c r="AY251" s="1259"/>
      <c r="AZ251" s="1259"/>
      <c r="BA251" s="1259"/>
      <c r="BC251" s="1259"/>
      <c r="BE251" s="1259"/>
      <c r="BF251" s="1259"/>
      <c r="BG251" s="1259"/>
    </row>
    <row r="252" spans="18:59" x14ac:dyDescent="0.25">
      <c r="R252" s="1259"/>
      <c r="S252" s="1259"/>
      <c r="W252" s="1259"/>
      <c r="X252" s="1259"/>
      <c r="AE252" s="1259"/>
      <c r="AF252" s="1259"/>
      <c r="AV252" s="1259"/>
      <c r="AW252" s="1259"/>
      <c r="AX252" s="1259"/>
      <c r="AY252" s="1259"/>
      <c r="AZ252" s="1259"/>
      <c r="BA252" s="1259"/>
      <c r="BC252" s="1259"/>
      <c r="BE252" s="1259"/>
      <c r="BF252" s="1259"/>
      <c r="BG252" s="1259"/>
    </row>
    <row r="253" spans="18:59" x14ac:dyDescent="0.25">
      <c r="R253" s="1259"/>
      <c r="S253" s="1259"/>
      <c r="W253" s="1259"/>
      <c r="X253" s="1259"/>
      <c r="AE253" s="1259"/>
      <c r="AF253" s="1259"/>
      <c r="AV253" s="1259"/>
      <c r="AW253" s="1259"/>
      <c r="AX253" s="1259"/>
      <c r="AY253" s="1259"/>
      <c r="AZ253" s="1259"/>
      <c r="BA253" s="1259"/>
      <c r="BC253" s="1259"/>
      <c r="BE253" s="1259"/>
      <c r="BF253" s="1259"/>
      <c r="BG253" s="1259"/>
    </row>
    <row r="254" spans="18:59" x14ac:dyDescent="0.25">
      <c r="R254" s="1259"/>
      <c r="S254" s="1259"/>
      <c r="W254" s="1259"/>
      <c r="X254" s="1259"/>
      <c r="AE254" s="1259"/>
      <c r="AF254" s="1259"/>
      <c r="AV254" s="1259"/>
      <c r="AW254" s="1259"/>
      <c r="AX254" s="1259"/>
      <c r="AY254" s="1259"/>
      <c r="AZ254" s="1259"/>
      <c r="BA254" s="1259"/>
      <c r="BC254" s="1259"/>
      <c r="BE254" s="1259"/>
      <c r="BF254" s="1259"/>
      <c r="BG254" s="1259"/>
    </row>
    <row r="255" spans="18:59" x14ac:dyDescent="0.25">
      <c r="R255" s="1259"/>
      <c r="S255" s="1259"/>
      <c r="W255" s="1259"/>
      <c r="X255" s="1259"/>
      <c r="AE255" s="1259"/>
      <c r="AF255" s="1259"/>
      <c r="AV255" s="1259"/>
      <c r="AW255" s="1259"/>
      <c r="AX255" s="1259"/>
      <c r="AY255" s="1259"/>
      <c r="AZ255" s="1259"/>
      <c r="BA255" s="1259"/>
      <c r="BC255" s="1259"/>
      <c r="BE255" s="1259"/>
      <c r="BF255" s="1259"/>
      <c r="BG255" s="1259"/>
    </row>
    <row r="256" spans="18:59" x14ac:dyDescent="0.25">
      <c r="R256" s="1259"/>
      <c r="S256" s="1259"/>
      <c r="W256" s="1259"/>
      <c r="X256" s="1259"/>
      <c r="AE256" s="1259"/>
      <c r="AF256" s="1259"/>
      <c r="AV256" s="1259"/>
      <c r="AW256" s="1259"/>
      <c r="AX256" s="1259"/>
      <c r="AY256" s="1259"/>
      <c r="AZ256" s="1259"/>
      <c r="BA256" s="1259"/>
      <c r="BC256" s="1259"/>
      <c r="BE256" s="1259"/>
      <c r="BF256" s="1259"/>
      <c r="BG256" s="1259"/>
    </row>
    <row r="257" spans="18:59" x14ac:dyDescent="0.25">
      <c r="R257" s="1259"/>
      <c r="S257" s="1259"/>
      <c r="W257" s="1259"/>
      <c r="X257" s="1259"/>
      <c r="AE257" s="1259"/>
      <c r="AF257" s="1259"/>
      <c r="AV257" s="1259"/>
      <c r="AW257" s="1259"/>
      <c r="AX257" s="1259"/>
      <c r="AY257" s="1259"/>
      <c r="AZ257" s="1259"/>
      <c r="BA257" s="1259"/>
      <c r="BC257" s="1259"/>
      <c r="BE257" s="1259"/>
      <c r="BF257" s="1259"/>
      <c r="BG257" s="1259"/>
    </row>
    <row r="258" spans="18:59" x14ac:dyDescent="0.25">
      <c r="R258" s="1259"/>
      <c r="S258" s="1259"/>
      <c r="W258" s="1259"/>
      <c r="X258" s="1259"/>
      <c r="AE258" s="1259"/>
      <c r="AF258" s="1259"/>
      <c r="AV258" s="1259"/>
      <c r="AW258" s="1259"/>
      <c r="AX258" s="1259"/>
      <c r="AY258" s="1259"/>
      <c r="AZ258" s="1259"/>
      <c r="BA258" s="1259"/>
      <c r="BC258" s="1259"/>
      <c r="BE258" s="1259"/>
      <c r="BF258" s="1259"/>
      <c r="BG258" s="1259"/>
    </row>
    <row r="259" spans="18:59" x14ac:dyDescent="0.25">
      <c r="R259" s="1259"/>
      <c r="S259" s="1259"/>
      <c r="W259" s="1259"/>
      <c r="X259" s="1259"/>
      <c r="AE259" s="1259"/>
      <c r="AF259" s="1259"/>
      <c r="AV259" s="1259"/>
      <c r="AW259" s="1259"/>
      <c r="AX259" s="1259"/>
      <c r="AY259" s="1259"/>
      <c r="AZ259" s="1259"/>
      <c r="BA259" s="1259"/>
      <c r="BC259" s="1259"/>
      <c r="BE259" s="1259"/>
      <c r="BF259" s="1259"/>
      <c r="BG259" s="1259"/>
    </row>
    <row r="260" spans="18:59" x14ac:dyDescent="0.25">
      <c r="R260" s="1259"/>
      <c r="S260" s="1259"/>
      <c r="W260" s="1259"/>
      <c r="X260" s="1259"/>
      <c r="AE260" s="1259"/>
      <c r="AF260" s="1259"/>
      <c r="AV260" s="1259"/>
      <c r="AW260" s="1259"/>
      <c r="AX260" s="1259"/>
      <c r="AY260" s="1259"/>
      <c r="AZ260" s="1259"/>
      <c r="BA260" s="1259"/>
      <c r="BC260" s="1259"/>
      <c r="BE260" s="1259"/>
      <c r="BF260" s="1259"/>
      <c r="BG260" s="1259"/>
    </row>
    <row r="261" spans="18:59" x14ac:dyDescent="0.25">
      <c r="R261" s="1259"/>
      <c r="S261" s="1259"/>
      <c r="W261" s="1259"/>
      <c r="X261" s="1259"/>
      <c r="AE261" s="1259"/>
      <c r="AF261" s="1259"/>
      <c r="AV261" s="1259"/>
      <c r="AW261" s="1259"/>
      <c r="AX261" s="1259"/>
      <c r="AY261" s="1259"/>
      <c r="AZ261" s="1259"/>
      <c r="BA261" s="1259"/>
      <c r="BC261" s="1259"/>
      <c r="BE261" s="1259"/>
      <c r="BF261" s="1259"/>
      <c r="BG261" s="1259"/>
    </row>
    <row r="262" spans="18:59" x14ac:dyDescent="0.25">
      <c r="R262" s="1259"/>
      <c r="S262" s="1259"/>
      <c r="W262" s="1259"/>
      <c r="X262" s="1259"/>
      <c r="AE262" s="1259"/>
      <c r="AF262" s="1259"/>
      <c r="AV262" s="1259"/>
      <c r="AW262" s="1259"/>
      <c r="AX262" s="1259"/>
      <c r="AY262" s="1259"/>
      <c r="AZ262" s="1259"/>
      <c r="BA262" s="1259"/>
      <c r="BC262" s="1259"/>
      <c r="BE262" s="1259"/>
      <c r="BF262" s="1259"/>
      <c r="BG262" s="1259"/>
    </row>
    <row r="263" spans="18:59" x14ac:dyDescent="0.25">
      <c r="R263" s="1259"/>
      <c r="S263" s="1259"/>
      <c r="W263" s="1259"/>
      <c r="X263" s="1259"/>
      <c r="AE263" s="1259"/>
      <c r="AF263" s="1259"/>
      <c r="AV263" s="1259"/>
      <c r="AW263" s="1259"/>
      <c r="AX263" s="1259"/>
      <c r="AY263" s="1259"/>
      <c r="AZ263" s="1259"/>
      <c r="BA263" s="1259"/>
      <c r="BC263" s="1259"/>
      <c r="BE263" s="1259"/>
      <c r="BF263" s="1259"/>
      <c r="BG263" s="1259"/>
    </row>
    <row r="264" spans="18:59" x14ac:dyDescent="0.25">
      <c r="R264" s="1259"/>
      <c r="S264" s="1259"/>
      <c r="W264" s="1259"/>
      <c r="X264" s="1259"/>
      <c r="AE264" s="1259"/>
      <c r="AF264" s="1259"/>
      <c r="AV264" s="1259"/>
      <c r="AW264" s="1259"/>
      <c r="AX264" s="1259"/>
      <c r="AY264" s="1259"/>
      <c r="AZ264" s="1259"/>
      <c r="BA264" s="1259"/>
      <c r="BC264" s="1259"/>
      <c r="BE264" s="1259"/>
      <c r="BF264" s="1259"/>
      <c r="BG264" s="1259"/>
    </row>
    <row r="265" spans="18:59" x14ac:dyDescent="0.25">
      <c r="R265" s="1259"/>
      <c r="S265" s="1259"/>
      <c r="W265" s="1259"/>
      <c r="X265" s="1259"/>
      <c r="AE265" s="1259"/>
      <c r="AF265" s="1259"/>
      <c r="AV265" s="1259"/>
      <c r="AW265" s="1259"/>
      <c r="AX265" s="1259"/>
      <c r="AY265" s="1259"/>
      <c r="AZ265" s="1259"/>
      <c r="BA265" s="1259"/>
      <c r="BC265" s="1259"/>
      <c r="BE265" s="1259"/>
      <c r="BF265" s="1259"/>
      <c r="BG265" s="1259"/>
    </row>
    <row r="266" spans="18:59" x14ac:dyDescent="0.25">
      <c r="R266" s="1259"/>
      <c r="S266" s="1259"/>
      <c r="W266" s="1259"/>
      <c r="X266" s="1259"/>
      <c r="AE266" s="1259"/>
      <c r="AF266" s="1259"/>
      <c r="AV266" s="1259"/>
      <c r="AW266" s="1259"/>
      <c r="AX266" s="1259"/>
      <c r="AY266" s="1259"/>
      <c r="AZ266" s="1259"/>
      <c r="BA266" s="1259"/>
      <c r="BC266" s="1259"/>
      <c r="BE266" s="1259"/>
      <c r="BF266" s="1259"/>
      <c r="BG266" s="1259"/>
    </row>
    <row r="267" spans="18:59" x14ac:dyDescent="0.25">
      <c r="R267" s="1259"/>
      <c r="S267" s="1259"/>
      <c r="W267" s="1259"/>
      <c r="X267" s="1259"/>
      <c r="AE267" s="1259"/>
      <c r="AF267" s="1259"/>
      <c r="AV267" s="1259"/>
      <c r="AW267" s="1259"/>
      <c r="AX267" s="1259"/>
      <c r="AY267" s="1259"/>
      <c r="AZ267" s="1259"/>
      <c r="BA267" s="1259"/>
      <c r="BC267" s="1259"/>
      <c r="BE267" s="1259"/>
      <c r="BF267" s="1259"/>
      <c r="BG267" s="1259"/>
    </row>
    <row r="268" spans="18:59" x14ac:dyDescent="0.25">
      <c r="R268" s="1259"/>
      <c r="S268" s="1259"/>
      <c r="W268" s="1259"/>
      <c r="X268" s="1259"/>
      <c r="AE268" s="1259"/>
      <c r="AF268" s="1259"/>
      <c r="AV268" s="1259"/>
      <c r="AW268" s="1259"/>
      <c r="AX268" s="1259"/>
      <c r="AY268" s="1259"/>
      <c r="AZ268" s="1259"/>
      <c r="BA268" s="1259"/>
      <c r="BC268" s="1259"/>
      <c r="BE268" s="1259"/>
      <c r="BF268" s="1259"/>
      <c r="BG268" s="1259"/>
    </row>
    <row r="269" spans="18:59" x14ac:dyDescent="0.25">
      <c r="R269" s="1259"/>
      <c r="S269" s="1259"/>
      <c r="W269" s="1259"/>
      <c r="X269" s="1259"/>
      <c r="AE269" s="1259"/>
      <c r="AF269" s="1259"/>
      <c r="AV269" s="1259"/>
      <c r="AW269" s="1259"/>
      <c r="AX269" s="1259"/>
      <c r="AY269" s="1259"/>
      <c r="AZ269" s="1259"/>
      <c r="BA269" s="1259"/>
      <c r="BC269" s="1259"/>
      <c r="BE269" s="1259"/>
      <c r="BF269" s="1259"/>
      <c r="BG269" s="1259"/>
    </row>
    <row r="270" spans="18:59" x14ac:dyDescent="0.25">
      <c r="R270" s="1259"/>
      <c r="S270" s="1259"/>
      <c r="W270" s="1259"/>
      <c r="X270" s="1259"/>
      <c r="AE270" s="1259"/>
      <c r="AF270" s="1259"/>
      <c r="AV270" s="1259"/>
      <c r="AW270" s="1259"/>
      <c r="AX270" s="1259"/>
      <c r="AY270" s="1259"/>
      <c r="AZ270" s="1259"/>
      <c r="BA270" s="1259"/>
      <c r="BC270" s="1259"/>
      <c r="BE270" s="1259"/>
      <c r="BF270" s="1259"/>
      <c r="BG270" s="1259"/>
    </row>
    <row r="271" spans="18:59" x14ac:dyDescent="0.25">
      <c r="R271" s="1259"/>
      <c r="S271" s="1259"/>
      <c r="W271" s="1259"/>
      <c r="X271" s="1259"/>
      <c r="AE271" s="1259"/>
      <c r="AF271" s="1259"/>
      <c r="AV271" s="1259"/>
      <c r="AW271" s="1259"/>
      <c r="AX271" s="1259"/>
      <c r="AY271" s="1259"/>
      <c r="AZ271" s="1259"/>
      <c r="BA271" s="1259"/>
      <c r="BC271" s="1259"/>
      <c r="BE271" s="1259"/>
      <c r="BF271" s="1259"/>
      <c r="BG271" s="1259"/>
    </row>
    <row r="272" spans="18:59" x14ac:dyDescent="0.25">
      <c r="R272" s="1259"/>
      <c r="S272" s="1259"/>
      <c r="W272" s="1259"/>
      <c r="X272" s="1259"/>
      <c r="AE272" s="1259"/>
      <c r="AF272" s="1259"/>
      <c r="AV272" s="1259"/>
      <c r="AW272" s="1259"/>
      <c r="AX272" s="1259"/>
      <c r="AY272" s="1259"/>
      <c r="AZ272" s="1259"/>
      <c r="BA272" s="1259"/>
      <c r="BC272" s="1259"/>
      <c r="BE272" s="1259"/>
      <c r="BF272" s="1259"/>
      <c r="BG272" s="1259"/>
    </row>
    <row r="273" spans="18:59" x14ac:dyDescent="0.25">
      <c r="R273" s="1259"/>
      <c r="S273" s="1259"/>
      <c r="W273" s="1259"/>
      <c r="X273" s="1259"/>
      <c r="AE273" s="1259"/>
      <c r="AF273" s="1259"/>
      <c r="AV273" s="1259"/>
      <c r="AW273" s="1259"/>
      <c r="AX273" s="1259"/>
      <c r="AY273" s="1259"/>
      <c r="AZ273" s="1259"/>
      <c r="BA273" s="1259"/>
      <c r="BC273" s="1259"/>
      <c r="BE273" s="1259"/>
      <c r="BF273" s="1259"/>
      <c r="BG273" s="1259"/>
    </row>
    <row r="274" spans="18:59" x14ac:dyDescent="0.25">
      <c r="R274" s="1259"/>
      <c r="S274" s="1259"/>
      <c r="W274" s="1259"/>
      <c r="X274" s="1259"/>
      <c r="AE274" s="1259"/>
      <c r="AF274" s="1259"/>
      <c r="AV274" s="1259"/>
      <c r="AW274" s="1259"/>
      <c r="AX274" s="1259"/>
      <c r="AY274" s="1259"/>
      <c r="AZ274" s="1259"/>
      <c r="BA274" s="1259"/>
      <c r="BC274" s="1259"/>
      <c r="BE274" s="1259"/>
      <c r="BF274" s="1259"/>
      <c r="BG274" s="1259"/>
    </row>
    <row r="275" spans="18:59" x14ac:dyDescent="0.25">
      <c r="R275" s="1259"/>
      <c r="S275" s="1259"/>
      <c r="W275" s="1259"/>
      <c r="X275" s="1259"/>
      <c r="AE275" s="1259"/>
      <c r="AF275" s="1259"/>
      <c r="AV275" s="1259"/>
      <c r="AW275" s="1259"/>
      <c r="AX275" s="1259"/>
      <c r="AY275" s="1259"/>
      <c r="AZ275" s="1259"/>
      <c r="BA275" s="1259"/>
      <c r="BC275" s="1259"/>
      <c r="BE275" s="1259"/>
      <c r="BF275" s="1259"/>
      <c r="BG275" s="1259"/>
    </row>
    <row r="276" spans="18:59" x14ac:dyDescent="0.25">
      <c r="R276" s="1259"/>
      <c r="S276" s="1259"/>
      <c r="W276" s="1259"/>
      <c r="X276" s="1259"/>
      <c r="AE276" s="1259"/>
      <c r="AF276" s="1259"/>
      <c r="AV276" s="1259"/>
      <c r="AW276" s="1259"/>
      <c r="AX276" s="1259"/>
      <c r="AY276" s="1259"/>
      <c r="AZ276" s="1259"/>
      <c r="BA276" s="1259"/>
      <c r="BC276" s="1259"/>
      <c r="BE276" s="1259"/>
      <c r="BF276" s="1259"/>
      <c r="BG276" s="1259"/>
    </row>
    <row r="277" spans="18:59" x14ac:dyDescent="0.25">
      <c r="R277" s="1259"/>
      <c r="S277" s="1259"/>
      <c r="W277" s="1259"/>
      <c r="X277" s="1259"/>
      <c r="AE277" s="1259"/>
      <c r="AF277" s="1259"/>
      <c r="AV277" s="1259"/>
      <c r="AW277" s="1259"/>
      <c r="AX277" s="1259"/>
      <c r="AY277" s="1259"/>
      <c r="AZ277" s="1259"/>
      <c r="BA277" s="1259"/>
      <c r="BC277" s="1259"/>
      <c r="BE277" s="1259"/>
      <c r="BF277" s="1259"/>
      <c r="BG277" s="1259"/>
    </row>
    <row r="278" spans="18:59" x14ac:dyDescent="0.25">
      <c r="R278" s="1259"/>
      <c r="S278" s="1259"/>
      <c r="W278" s="1259"/>
      <c r="X278" s="1259"/>
      <c r="AE278" s="1259"/>
      <c r="AF278" s="1259"/>
      <c r="AV278" s="1259"/>
      <c r="AW278" s="1259"/>
      <c r="AX278" s="1259"/>
      <c r="AY278" s="1259"/>
      <c r="AZ278" s="1259"/>
      <c r="BA278" s="1259"/>
      <c r="BC278" s="1259"/>
      <c r="BE278" s="1259"/>
      <c r="BF278" s="1259"/>
      <c r="BG278" s="1259"/>
    </row>
    <row r="279" spans="18:59" x14ac:dyDescent="0.25">
      <c r="R279" s="1259"/>
      <c r="S279" s="1259"/>
      <c r="W279" s="1259"/>
      <c r="X279" s="1259"/>
      <c r="AE279" s="1259"/>
      <c r="AF279" s="1259"/>
      <c r="AV279" s="1259"/>
      <c r="AW279" s="1259"/>
      <c r="AX279" s="1259"/>
      <c r="AY279" s="1259"/>
      <c r="AZ279" s="1259"/>
      <c r="BA279" s="1259"/>
      <c r="BC279" s="1259"/>
      <c r="BE279" s="1259"/>
      <c r="BF279" s="1259"/>
      <c r="BG279" s="1259"/>
    </row>
    <row r="280" spans="18:59" x14ac:dyDescent="0.25">
      <c r="R280" s="1259"/>
      <c r="S280" s="1259"/>
      <c r="W280" s="1259"/>
      <c r="X280" s="1259"/>
      <c r="AE280" s="1259"/>
      <c r="AF280" s="1259"/>
      <c r="AV280" s="1259"/>
      <c r="AW280" s="1259"/>
      <c r="AX280" s="1259"/>
      <c r="AY280" s="1259"/>
      <c r="AZ280" s="1259"/>
      <c r="BA280" s="1259"/>
      <c r="BC280" s="1259"/>
      <c r="BE280" s="1259"/>
      <c r="BF280" s="1259"/>
      <c r="BG280" s="1259"/>
    </row>
    <row r="281" spans="18:59" x14ac:dyDescent="0.25">
      <c r="R281" s="1259"/>
      <c r="S281" s="1259"/>
      <c r="W281" s="1259"/>
      <c r="X281" s="1259"/>
      <c r="AE281" s="1259"/>
      <c r="AF281" s="1259"/>
      <c r="AV281" s="1259"/>
      <c r="AW281" s="1259"/>
      <c r="AX281" s="1259"/>
      <c r="AY281" s="1259"/>
      <c r="AZ281" s="1259"/>
      <c r="BA281" s="1259"/>
      <c r="BC281" s="1259"/>
      <c r="BE281" s="1259"/>
      <c r="BF281" s="1259"/>
      <c r="BG281" s="1259"/>
    </row>
    <row r="282" spans="18:59" x14ac:dyDescent="0.25">
      <c r="R282" s="1259"/>
      <c r="S282" s="1259"/>
      <c r="W282" s="1259"/>
      <c r="X282" s="1259"/>
      <c r="AE282" s="1259"/>
      <c r="AF282" s="1259"/>
      <c r="AV282" s="1259"/>
      <c r="AW282" s="1259"/>
      <c r="AX282" s="1259"/>
      <c r="AY282" s="1259"/>
      <c r="AZ282" s="1259"/>
      <c r="BA282" s="1259"/>
      <c r="BC282" s="1259"/>
      <c r="BE282" s="1259"/>
      <c r="BF282" s="1259"/>
      <c r="BG282" s="1259"/>
    </row>
    <row r="283" spans="18:59" x14ac:dyDescent="0.25">
      <c r="R283" s="1259"/>
      <c r="S283" s="1259"/>
      <c r="W283" s="1259"/>
      <c r="X283" s="1259"/>
      <c r="AE283" s="1259"/>
      <c r="AF283" s="1259"/>
      <c r="AV283" s="1259"/>
      <c r="AW283" s="1259"/>
      <c r="AX283" s="1259"/>
      <c r="AY283" s="1259"/>
      <c r="AZ283" s="1259"/>
      <c r="BA283" s="1259"/>
      <c r="BC283" s="1259"/>
      <c r="BE283" s="1259"/>
      <c r="BF283" s="1259"/>
      <c r="BG283" s="1259"/>
    </row>
    <row r="284" spans="18:59" x14ac:dyDescent="0.25">
      <c r="R284" s="1259"/>
      <c r="S284" s="1259"/>
      <c r="W284" s="1259"/>
      <c r="X284" s="1259"/>
      <c r="AE284" s="1259"/>
      <c r="AF284" s="1259"/>
      <c r="AV284" s="1259"/>
      <c r="AW284" s="1259"/>
      <c r="AX284" s="1259"/>
      <c r="AY284" s="1259"/>
      <c r="AZ284" s="1259"/>
      <c r="BA284" s="1259"/>
      <c r="BC284" s="1259"/>
      <c r="BE284" s="1259"/>
      <c r="BF284" s="1259"/>
      <c r="BG284" s="1259"/>
    </row>
    <row r="285" spans="18:59" x14ac:dyDescent="0.25">
      <c r="R285" s="1259"/>
      <c r="S285" s="1259"/>
      <c r="W285" s="1259"/>
      <c r="X285" s="1259"/>
      <c r="AE285" s="1259"/>
      <c r="AF285" s="1259"/>
      <c r="AV285" s="1259"/>
      <c r="AW285" s="1259"/>
      <c r="AX285" s="1259"/>
      <c r="AY285" s="1259"/>
      <c r="AZ285" s="1259"/>
      <c r="BA285" s="1259"/>
      <c r="BC285" s="1259"/>
      <c r="BE285" s="1259"/>
      <c r="BF285" s="1259"/>
      <c r="BG285" s="1259"/>
    </row>
    <row r="286" spans="18:59" x14ac:dyDescent="0.25">
      <c r="R286" s="1259"/>
      <c r="S286" s="1259"/>
      <c r="W286" s="1259"/>
      <c r="X286" s="1259"/>
      <c r="AE286" s="1259"/>
      <c r="AF286" s="1259"/>
      <c r="AV286" s="1259"/>
      <c r="AW286" s="1259"/>
      <c r="AX286" s="1259"/>
      <c r="AY286" s="1259"/>
      <c r="AZ286" s="1259"/>
      <c r="BA286" s="1259"/>
      <c r="BC286" s="1259"/>
      <c r="BE286" s="1259"/>
      <c r="BF286" s="1259"/>
      <c r="BG286" s="1259"/>
    </row>
    <row r="287" spans="18:59" x14ac:dyDescent="0.25">
      <c r="R287" s="1259"/>
      <c r="S287" s="1259"/>
      <c r="W287" s="1259"/>
      <c r="X287" s="1259"/>
      <c r="AE287" s="1259"/>
      <c r="AF287" s="1259"/>
      <c r="AV287" s="1259"/>
      <c r="AW287" s="1259"/>
      <c r="AX287" s="1259"/>
      <c r="AY287" s="1259"/>
      <c r="AZ287" s="1259"/>
      <c r="BA287" s="1259"/>
      <c r="BC287" s="1259"/>
      <c r="BE287" s="1259"/>
      <c r="BF287" s="1259"/>
      <c r="BG287" s="1259"/>
    </row>
    <row r="288" spans="18:59" x14ac:dyDescent="0.25">
      <c r="R288" s="1259"/>
      <c r="S288" s="1259"/>
      <c r="W288" s="1259"/>
      <c r="X288" s="1259"/>
      <c r="AE288" s="1259"/>
      <c r="AF288" s="1259"/>
      <c r="AV288" s="1259"/>
      <c r="AW288" s="1259"/>
      <c r="AX288" s="1259"/>
      <c r="AY288" s="1259"/>
      <c r="AZ288" s="1259"/>
      <c r="BA288" s="1259"/>
      <c r="BC288" s="1259"/>
      <c r="BE288" s="1259"/>
      <c r="BF288" s="1259"/>
      <c r="BG288" s="1259"/>
    </row>
    <row r="289" spans="18:59" x14ac:dyDescent="0.25">
      <c r="R289" s="1259"/>
      <c r="S289" s="1259"/>
      <c r="W289" s="1259"/>
      <c r="X289" s="1259"/>
      <c r="AE289" s="1259"/>
      <c r="AF289" s="1259"/>
      <c r="AV289" s="1259"/>
      <c r="AW289" s="1259"/>
      <c r="AX289" s="1259"/>
      <c r="AY289" s="1259"/>
      <c r="AZ289" s="1259"/>
      <c r="BA289" s="1259"/>
      <c r="BC289" s="1259"/>
      <c r="BE289" s="1259"/>
      <c r="BF289" s="1259"/>
      <c r="BG289" s="1259"/>
    </row>
    <row r="290" spans="18:59" x14ac:dyDescent="0.25">
      <c r="R290" s="1259"/>
      <c r="S290" s="1259"/>
      <c r="W290" s="1259"/>
      <c r="X290" s="1259"/>
      <c r="AE290" s="1259"/>
      <c r="AF290" s="1259"/>
      <c r="AV290" s="1259"/>
      <c r="AW290" s="1259"/>
      <c r="AX290" s="1259"/>
      <c r="AY290" s="1259"/>
      <c r="AZ290" s="1259"/>
      <c r="BA290" s="1259"/>
      <c r="BC290" s="1259"/>
      <c r="BE290" s="1259"/>
      <c r="BF290" s="1259"/>
      <c r="BG290" s="1259"/>
    </row>
    <row r="291" spans="18:59" x14ac:dyDescent="0.25">
      <c r="R291" s="1259"/>
      <c r="S291" s="1259"/>
      <c r="W291" s="1259"/>
      <c r="X291" s="1259"/>
      <c r="AE291" s="1259"/>
      <c r="AF291" s="1259"/>
      <c r="AV291" s="1259"/>
      <c r="AW291" s="1259"/>
      <c r="AX291" s="1259"/>
      <c r="AY291" s="1259"/>
      <c r="AZ291" s="1259"/>
      <c r="BA291" s="1259"/>
      <c r="BC291" s="1259"/>
      <c r="BE291" s="1259"/>
      <c r="BF291" s="1259"/>
      <c r="BG291" s="1259"/>
    </row>
    <row r="292" spans="18:59" x14ac:dyDescent="0.25">
      <c r="R292" s="1259"/>
      <c r="S292" s="1259"/>
      <c r="W292" s="1259"/>
      <c r="X292" s="1259"/>
      <c r="AE292" s="1259"/>
      <c r="AF292" s="1259"/>
      <c r="AV292" s="1259"/>
      <c r="AW292" s="1259"/>
      <c r="AX292" s="1259"/>
      <c r="AY292" s="1259"/>
      <c r="AZ292" s="1259"/>
      <c r="BA292" s="1259"/>
      <c r="BC292" s="1259"/>
      <c r="BE292" s="1259"/>
      <c r="BF292" s="1259"/>
      <c r="BG292" s="1259"/>
    </row>
    <row r="293" spans="18:59" x14ac:dyDescent="0.25">
      <c r="R293" s="1259"/>
      <c r="S293" s="1259"/>
      <c r="W293" s="1259"/>
      <c r="X293" s="1259"/>
      <c r="AE293" s="1259"/>
      <c r="AF293" s="1259"/>
      <c r="AV293" s="1259"/>
      <c r="AW293" s="1259"/>
      <c r="AX293" s="1259"/>
      <c r="AY293" s="1259"/>
      <c r="AZ293" s="1259"/>
      <c r="BA293" s="1259"/>
      <c r="BC293" s="1259"/>
      <c r="BE293" s="1259"/>
      <c r="BF293" s="1259"/>
      <c r="BG293" s="1259"/>
    </row>
    <row r="294" spans="18:59" x14ac:dyDescent="0.25">
      <c r="R294" s="1259"/>
      <c r="S294" s="1259"/>
      <c r="W294" s="1259"/>
      <c r="X294" s="1259"/>
      <c r="AE294" s="1259"/>
      <c r="AF294" s="1259"/>
      <c r="AV294" s="1259"/>
      <c r="AW294" s="1259"/>
      <c r="AX294" s="1259"/>
      <c r="AY294" s="1259"/>
      <c r="AZ294" s="1259"/>
      <c r="BA294" s="1259"/>
      <c r="BC294" s="1259"/>
      <c r="BE294" s="1259"/>
      <c r="BF294" s="1259"/>
      <c r="BG294" s="1259"/>
    </row>
    <row r="295" spans="18:59" x14ac:dyDescent="0.25">
      <c r="R295" s="1259"/>
      <c r="S295" s="1259"/>
      <c r="W295" s="1259"/>
      <c r="X295" s="1259"/>
      <c r="AE295" s="1259"/>
      <c r="AF295" s="1259"/>
      <c r="AV295" s="1259"/>
      <c r="AW295" s="1259"/>
      <c r="AX295" s="1259"/>
      <c r="AY295" s="1259"/>
      <c r="AZ295" s="1259"/>
      <c r="BA295" s="1259"/>
      <c r="BC295" s="1259"/>
      <c r="BE295" s="1259"/>
      <c r="BF295" s="1259"/>
      <c r="BG295" s="1259"/>
    </row>
    <row r="296" spans="18:59" x14ac:dyDescent="0.25">
      <c r="R296" s="1259"/>
      <c r="S296" s="1259"/>
      <c r="W296" s="1259"/>
      <c r="X296" s="1259"/>
      <c r="AE296" s="1259"/>
      <c r="AF296" s="1259"/>
      <c r="AV296" s="1259"/>
      <c r="AW296" s="1259"/>
      <c r="AX296" s="1259"/>
      <c r="AY296" s="1259"/>
      <c r="AZ296" s="1259"/>
      <c r="BA296" s="1259"/>
      <c r="BC296" s="1259"/>
      <c r="BE296" s="1259"/>
      <c r="BF296" s="1259"/>
      <c r="BG296" s="1259"/>
    </row>
    <row r="297" spans="18:59" x14ac:dyDescent="0.25">
      <c r="R297" s="1259"/>
      <c r="S297" s="1259"/>
      <c r="W297" s="1259"/>
      <c r="X297" s="1259"/>
      <c r="AE297" s="1259"/>
      <c r="AF297" s="1259"/>
      <c r="AV297" s="1259"/>
      <c r="AW297" s="1259"/>
      <c r="AX297" s="1259"/>
      <c r="AY297" s="1259"/>
      <c r="AZ297" s="1259"/>
      <c r="BA297" s="1259"/>
      <c r="BC297" s="1259"/>
      <c r="BE297" s="1259"/>
      <c r="BF297" s="1259"/>
      <c r="BG297" s="1259"/>
    </row>
    <row r="298" spans="18:59" x14ac:dyDescent="0.25">
      <c r="R298" s="1259"/>
      <c r="S298" s="1259"/>
      <c r="W298" s="1259"/>
      <c r="X298" s="1259"/>
      <c r="AE298" s="1259"/>
      <c r="AF298" s="1259"/>
      <c r="AV298" s="1259"/>
      <c r="AW298" s="1259"/>
      <c r="AX298" s="1259"/>
      <c r="AY298" s="1259"/>
      <c r="AZ298" s="1259"/>
      <c r="BA298" s="1259"/>
      <c r="BC298" s="1259"/>
      <c r="BE298" s="1259"/>
      <c r="BF298" s="1259"/>
      <c r="BG298" s="1259"/>
    </row>
    <row r="299" spans="18:59" x14ac:dyDescent="0.25">
      <c r="R299" s="1259"/>
      <c r="S299" s="1259"/>
      <c r="W299" s="1259"/>
      <c r="X299" s="1259"/>
      <c r="AE299" s="1259"/>
      <c r="AF299" s="1259"/>
      <c r="AV299" s="1259"/>
      <c r="AW299" s="1259"/>
      <c r="AX299" s="1259"/>
      <c r="AY299" s="1259"/>
      <c r="AZ299" s="1259"/>
      <c r="BA299" s="1259"/>
      <c r="BC299" s="1259"/>
      <c r="BE299" s="1259"/>
      <c r="BF299" s="1259"/>
      <c r="BG299" s="1259"/>
    </row>
    <row r="300" spans="18:59" x14ac:dyDescent="0.25">
      <c r="R300" s="1259"/>
      <c r="S300" s="1259"/>
      <c r="W300" s="1259"/>
      <c r="X300" s="1259"/>
      <c r="AE300" s="1259"/>
      <c r="AF300" s="1259"/>
      <c r="AV300" s="1259"/>
      <c r="AW300" s="1259"/>
      <c r="AX300" s="1259"/>
      <c r="AY300" s="1259"/>
      <c r="AZ300" s="1259"/>
      <c r="BA300" s="1259"/>
      <c r="BC300" s="1259"/>
      <c r="BE300" s="1259"/>
      <c r="BF300" s="1259"/>
      <c r="BG300" s="1259"/>
    </row>
    <row r="301" spans="18:59" x14ac:dyDescent="0.25">
      <c r="R301" s="1259"/>
      <c r="S301" s="1259"/>
      <c r="W301" s="1259"/>
      <c r="X301" s="1259"/>
      <c r="AE301" s="1259"/>
      <c r="AF301" s="1259"/>
      <c r="AV301" s="1259"/>
      <c r="AW301" s="1259"/>
      <c r="AX301" s="1259"/>
      <c r="AY301" s="1259"/>
      <c r="AZ301" s="1259"/>
      <c r="BA301" s="1259"/>
      <c r="BC301" s="1259"/>
      <c r="BE301" s="1259"/>
      <c r="BF301" s="1259"/>
      <c r="BG301" s="1259"/>
    </row>
    <row r="302" spans="18:59" x14ac:dyDescent="0.25">
      <c r="R302" s="1259"/>
      <c r="S302" s="1259"/>
      <c r="W302" s="1259"/>
      <c r="X302" s="1259"/>
      <c r="AE302" s="1259"/>
      <c r="AF302" s="1259"/>
      <c r="AV302" s="1259"/>
      <c r="AW302" s="1259"/>
      <c r="AX302" s="1259"/>
      <c r="AY302" s="1259"/>
      <c r="AZ302" s="1259"/>
      <c r="BA302" s="1259"/>
      <c r="BC302" s="1259"/>
      <c r="BE302" s="1259"/>
      <c r="BF302" s="1259"/>
      <c r="BG302" s="1259"/>
    </row>
    <row r="303" spans="18:59" x14ac:dyDescent="0.25">
      <c r="R303" s="1259"/>
      <c r="S303" s="1259"/>
      <c r="W303" s="1259"/>
      <c r="X303" s="1259"/>
      <c r="AE303" s="1259"/>
      <c r="AF303" s="1259"/>
      <c r="AV303" s="1259"/>
      <c r="AW303" s="1259"/>
      <c r="AX303" s="1259"/>
      <c r="AY303" s="1259"/>
      <c r="AZ303" s="1259"/>
      <c r="BA303" s="1259"/>
      <c r="BC303" s="1259"/>
      <c r="BE303" s="1259"/>
      <c r="BF303" s="1259"/>
      <c r="BG303" s="1259"/>
    </row>
    <row r="304" spans="18:59" x14ac:dyDescent="0.25">
      <c r="R304" s="1259"/>
      <c r="S304" s="1259"/>
      <c r="W304" s="1259"/>
      <c r="X304" s="1259"/>
      <c r="AE304" s="1259"/>
      <c r="AF304" s="1259"/>
      <c r="AV304" s="1259"/>
      <c r="AW304" s="1259"/>
      <c r="AX304" s="1259"/>
      <c r="AY304" s="1259"/>
      <c r="AZ304" s="1259"/>
      <c r="BA304" s="1259"/>
      <c r="BC304" s="1259"/>
      <c r="BE304" s="1259"/>
      <c r="BF304" s="1259"/>
      <c r="BG304" s="1259"/>
    </row>
    <row r="305" spans="18:59" x14ac:dyDescent="0.25">
      <c r="R305" s="1259"/>
      <c r="S305" s="1259"/>
      <c r="W305" s="1259"/>
      <c r="X305" s="1259"/>
      <c r="AE305" s="1259"/>
      <c r="AF305" s="1259"/>
      <c r="AV305" s="1259"/>
      <c r="AW305" s="1259"/>
      <c r="AX305" s="1259"/>
      <c r="AY305" s="1259"/>
      <c r="AZ305" s="1259"/>
      <c r="BA305" s="1259"/>
      <c r="BC305" s="1259"/>
      <c r="BE305" s="1259"/>
      <c r="BF305" s="1259"/>
      <c r="BG305" s="1259"/>
    </row>
    <row r="306" spans="18:59" x14ac:dyDescent="0.25">
      <c r="R306" s="1259"/>
      <c r="S306" s="1259"/>
      <c r="W306" s="1259"/>
      <c r="X306" s="1259"/>
      <c r="AE306" s="1259"/>
      <c r="AF306" s="1259"/>
      <c r="AV306" s="1259"/>
      <c r="AW306" s="1259"/>
      <c r="AX306" s="1259"/>
      <c r="AY306" s="1259"/>
      <c r="AZ306" s="1259"/>
      <c r="BA306" s="1259"/>
      <c r="BC306" s="1259"/>
      <c r="BE306" s="1259"/>
      <c r="BF306" s="1259"/>
      <c r="BG306" s="1259"/>
    </row>
    <row r="307" spans="18:59" x14ac:dyDescent="0.25">
      <c r="R307" s="1259"/>
      <c r="S307" s="1259"/>
      <c r="W307" s="1259"/>
      <c r="X307" s="1259"/>
      <c r="AE307" s="1259"/>
      <c r="AF307" s="1259"/>
      <c r="AV307" s="1259"/>
      <c r="AW307" s="1259"/>
      <c r="AX307" s="1259"/>
      <c r="AY307" s="1259"/>
      <c r="AZ307" s="1259"/>
      <c r="BA307" s="1259"/>
      <c r="BC307" s="1259"/>
      <c r="BE307" s="1259"/>
      <c r="BF307" s="1259"/>
      <c r="BG307" s="1259"/>
    </row>
    <row r="308" spans="18:59" x14ac:dyDescent="0.25">
      <c r="R308" s="1259"/>
      <c r="S308" s="1259"/>
      <c r="W308" s="1259"/>
      <c r="X308" s="1259"/>
      <c r="AE308" s="1259"/>
      <c r="AF308" s="1259"/>
      <c r="AV308" s="1259"/>
      <c r="AW308" s="1259"/>
      <c r="AX308" s="1259"/>
      <c r="AY308" s="1259"/>
      <c r="AZ308" s="1259"/>
      <c r="BA308" s="1259"/>
      <c r="BC308" s="1259"/>
      <c r="BE308" s="1259"/>
      <c r="BF308" s="1259"/>
      <c r="BG308" s="1259"/>
    </row>
    <row r="309" spans="18:59" x14ac:dyDescent="0.25">
      <c r="R309" s="1259"/>
      <c r="S309" s="1259"/>
      <c r="W309" s="1259"/>
      <c r="X309" s="1259"/>
      <c r="AE309" s="1259"/>
      <c r="AF309" s="1259"/>
      <c r="AV309" s="1259"/>
      <c r="AW309" s="1259"/>
      <c r="AX309" s="1259"/>
      <c r="AY309" s="1259"/>
      <c r="AZ309" s="1259"/>
      <c r="BA309" s="1259"/>
      <c r="BC309" s="1259"/>
      <c r="BE309" s="1259"/>
      <c r="BF309" s="1259"/>
      <c r="BG309" s="1259"/>
    </row>
    <row r="310" spans="18:59" x14ac:dyDescent="0.25">
      <c r="R310" s="1259"/>
      <c r="S310" s="1259"/>
      <c r="W310" s="1259"/>
      <c r="X310" s="1259"/>
      <c r="AE310" s="1259"/>
      <c r="AF310" s="1259"/>
      <c r="AV310" s="1259"/>
      <c r="AW310" s="1259"/>
      <c r="AX310" s="1259"/>
      <c r="AY310" s="1259"/>
      <c r="AZ310" s="1259"/>
      <c r="BA310" s="1259"/>
      <c r="BC310" s="1259"/>
      <c r="BE310" s="1259"/>
      <c r="BF310" s="1259"/>
      <c r="BG310" s="1259"/>
    </row>
    <row r="311" spans="18:59" x14ac:dyDescent="0.25">
      <c r="R311" s="1259"/>
      <c r="S311" s="1259"/>
      <c r="W311" s="1259"/>
      <c r="X311" s="1259"/>
      <c r="AE311" s="1259"/>
      <c r="AF311" s="1259"/>
      <c r="AV311" s="1259"/>
      <c r="AW311" s="1259"/>
      <c r="AX311" s="1259"/>
      <c r="AY311" s="1259"/>
      <c r="AZ311" s="1259"/>
      <c r="BA311" s="1259"/>
      <c r="BC311" s="1259"/>
      <c r="BE311" s="1259"/>
      <c r="BF311" s="1259"/>
      <c r="BG311" s="1259"/>
    </row>
    <row r="312" spans="18:59" x14ac:dyDescent="0.25">
      <c r="R312" s="1259"/>
      <c r="S312" s="1259"/>
      <c r="W312" s="1259"/>
      <c r="X312" s="1259"/>
      <c r="AE312" s="1259"/>
      <c r="AF312" s="1259"/>
      <c r="AV312" s="1259"/>
      <c r="AW312" s="1259"/>
      <c r="AX312" s="1259"/>
      <c r="AY312" s="1259"/>
      <c r="AZ312" s="1259"/>
      <c r="BA312" s="1259"/>
      <c r="BC312" s="1259"/>
      <c r="BE312" s="1259"/>
      <c r="BF312" s="1259"/>
      <c r="BG312" s="1259"/>
    </row>
    <row r="313" spans="18:59" x14ac:dyDescent="0.25">
      <c r="R313" s="1259"/>
      <c r="S313" s="1259"/>
      <c r="W313" s="1259"/>
      <c r="X313" s="1259"/>
      <c r="AE313" s="1259"/>
      <c r="AF313" s="1259"/>
      <c r="AV313" s="1259"/>
      <c r="AW313" s="1259"/>
      <c r="AX313" s="1259"/>
      <c r="AY313" s="1259"/>
      <c r="AZ313" s="1259"/>
      <c r="BA313" s="1259"/>
      <c r="BC313" s="1259"/>
      <c r="BE313" s="1259"/>
      <c r="BF313" s="1259"/>
      <c r="BG313" s="1259"/>
    </row>
    <row r="314" spans="18:59" x14ac:dyDescent="0.25">
      <c r="R314" s="1259"/>
      <c r="S314" s="1259"/>
      <c r="W314" s="1259"/>
      <c r="X314" s="1259"/>
      <c r="AE314" s="1259"/>
      <c r="AF314" s="1259"/>
      <c r="AV314" s="1259"/>
      <c r="AW314" s="1259"/>
      <c r="AX314" s="1259"/>
      <c r="AY314" s="1259"/>
      <c r="AZ314" s="1259"/>
      <c r="BA314" s="1259"/>
      <c r="BC314" s="1259"/>
      <c r="BE314" s="1259"/>
      <c r="BF314" s="1259"/>
      <c r="BG314" s="1259"/>
    </row>
    <row r="315" spans="18:59" x14ac:dyDescent="0.25">
      <c r="R315" s="1259"/>
      <c r="S315" s="1259"/>
      <c r="W315" s="1259"/>
      <c r="X315" s="1259"/>
      <c r="AE315" s="1259"/>
      <c r="AF315" s="1259"/>
      <c r="AV315" s="1259"/>
      <c r="AW315" s="1259"/>
      <c r="AX315" s="1259"/>
      <c r="AY315" s="1259"/>
      <c r="AZ315" s="1259"/>
      <c r="BA315" s="1259"/>
      <c r="BC315" s="1259"/>
      <c r="BE315" s="1259"/>
      <c r="BF315" s="1259"/>
      <c r="BG315" s="1259"/>
    </row>
    <row r="316" spans="18:59" x14ac:dyDescent="0.25">
      <c r="R316" s="1259"/>
      <c r="S316" s="1259"/>
      <c r="W316" s="1259"/>
      <c r="X316" s="1259"/>
      <c r="AE316" s="1259"/>
      <c r="AF316" s="1259"/>
      <c r="AV316" s="1259"/>
      <c r="AW316" s="1259"/>
      <c r="AX316" s="1259"/>
      <c r="AY316" s="1259"/>
      <c r="AZ316" s="1259"/>
      <c r="BA316" s="1259"/>
      <c r="BC316" s="1259"/>
      <c r="BE316" s="1259"/>
      <c r="BF316" s="1259"/>
      <c r="BG316" s="1259"/>
    </row>
    <row r="317" spans="18:59" x14ac:dyDescent="0.25">
      <c r="R317" s="1259"/>
      <c r="S317" s="1259"/>
      <c r="W317" s="1259"/>
      <c r="X317" s="1259"/>
      <c r="AE317" s="1259"/>
      <c r="AF317" s="1259"/>
      <c r="AV317" s="1259"/>
      <c r="AW317" s="1259"/>
      <c r="AX317" s="1259"/>
      <c r="AY317" s="1259"/>
      <c r="AZ317" s="1259"/>
      <c r="BA317" s="1259"/>
      <c r="BC317" s="1259"/>
      <c r="BE317" s="1259"/>
      <c r="BF317" s="1259"/>
      <c r="BG317" s="1259"/>
    </row>
    <row r="318" spans="18:59" x14ac:dyDescent="0.25">
      <c r="R318" s="1259"/>
      <c r="S318" s="1259"/>
      <c r="W318" s="1259"/>
      <c r="X318" s="1259"/>
      <c r="AE318" s="1259"/>
      <c r="AF318" s="1259"/>
      <c r="AV318" s="1259"/>
      <c r="AW318" s="1259"/>
      <c r="AX318" s="1259"/>
      <c r="AY318" s="1259"/>
      <c r="AZ318" s="1259"/>
      <c r="BA318" s="1259"/>
      <c r="BC318" s="1259"/>
      <c r="BE318" s="1259"/>
      <c r="BF318" s="1259"/>
      <c r="BG318" s="1259"/>
    </row>
    <row r="319" spans="18:59" x14ac:dyDescent="0.25">
      <c r="R319" s="1259"/>
      <c r="S319" s="1259"/>
      <c r="W319" s="1259"/>
      <c r="X319" s="1259"/>
      <c r="AE319" s="1259"/>
      <c r="AF319" s="1259"/>
      <c r="AV319" s="1259"/>
      <c r="AW319" s="1259"/>
      <c r="AX319" s="1259"/>
      <c r="AY319" s="1259"/>
      <c r="AZ319" s="1259"/>
      <c r="BA319" s="1259"/>
      <c r="BC319" s="1259"/>
      <c r="BE319" s="1259"/>
      <c r="BF319" s="1259"/>
      <c r="BG319" s="1259"/>
    </row>
    <row r="320" spans="18:59" x14ac:dyDescent="0.25">
      <c r="R320" s="1259"/>
      <c r="S320" s="1259"/>
      <c r="W320" s="1259"/>
      <c r="X320" s="1259"/>
      <c r="AE320" s="1259"/>
      <c r="AF320" s="1259"/>
      <c r="AV320" s="1259"/>
      <c r="AW320" s="1259"/>
      <c r="AX320" s="1259"/>
      <c r="AY320" s="1259"/>
      <c r="AZ320" s="1259"/>
      <c r="BA320" s="1259"/>
      <c r="BC320" s="1259"/>
      <c r="BE320" s="1259"/>
      <c r="BF320" s="1259"/>
      <c r="BG320" s="1259"/>
    </row>
    <row r="321" spans="18:59" x14ac:dyDescent="0.25">
      <c r="R321" s="1259"/>
      <c r="S321" s="1259"/>
      <c r="W321" s="1259"/>
      <c r="X321" s="1259"/>
      <c r="AE321" s="1259"/>
      <c r="AF321" s="1259"/>
      <c r="AV321" s="1259"/>
      <c r="AW321" s="1259"/>
      <c r="AX321" s="1259"/>
      <c r="AY321" s="1259"/>
      <c r="AZ321" s="1259"/>
      <c r="BA321" s="1259"/>
      <c r="BC321" s="1259"/>
      <c r="BE321" s="1259"/>
      <c r="BF321" s="1259"/>
      <c r="BG321" s="1259"/>
    </row>
    <row r="322" spans="18:59" x14ac:dyDescent="0.25">
      <c r="R322" s="1259"/>
      <c r="S322" s="1259"/>
      <c r="W322" s="1259"/>
      <c r="X322" s="1259"/>
      <c r="AE322" s="1259"/>
      <c r="AF322" s="1259"/>
      <c r="AV322" s="1259"/>
      <c r="AW322" s="1259"/>
      <c r="AX322" s="1259"/>
      <c r="AY322" s="1259"/>
      <c r="AZ322" s="1259"/>
      <c r="BA322" s="1259"/>
      <c r="BC322" s="1259"/>
      <c r="BE322" s="1259"/>
      <c r="BF322" s="1259"/>
      <c r="BG322" s="1259"/>
    </row>
    <row r="323" spans="18:59" x14ac:dyDescent="0.25">
      <c r="R323" s="1259"/>
      <c r="S323" s="1259"/>
      <c r="W323" s="1259"/>
      <c r="X323" s="1259"/>
      <c r="AE323" s="1259"/>
      <c r="AF323" s="1259"/>
      <c r="AV323" s="1259"/>
      <c r="AW323" s="1259"/>
      <c r="AX323" s="1259"/>
      <c r="AY323" s="1259"/>
      <c r="AZ323" s="1259"/>
      <c r="BA323" s="1259"/>
      <c r="BC323" s="1259"/>
      <c r="BE323" s="1259"/>
      <c r="BF323" s="1259"/>
      <c r="BG323" s="1259"/>
    </row>
    <row r="324" spans="18:59" x14ac:dyDescent="0.25">
      <c r="R324" s="1259"/>
      <c r="S324" s="1259"/>
      <c r="W324" s="1259"/>
      <c r="X324" s="1259"/>
      <c r="AE324" s="1259"/>
      <c r="AF324" s="1259"/>
      <c r="AV324" s="1259"/>
      <c r="AW324" s="1259"/>
      <c r="AX324" s="1259"/>
      <c r="AY324" s="1259"/>
      <c r="AZ324" s="1259"/>
      <c r="BA324" s="1259"/>
      <c r="BC324" s="1259"/>
      <c r="BE324" s="1259"/>
      <c r="BF324" s="1259"/>
      <c r="BG324" s="1259"/>
    </row>
    <row r="325" spans="18:59" x14ac:dyDescent="0.25">
      <c r="R325" s="1259"/>
      <c r="S325" s="1259"/>
      <c r="W325" s="1259"/>
      <c r="X325" s="1259"/>
      <c r="AE325" s="1259"/>
      <c r="AF325" s="1259"/>
      <c r="AV325" s="1259"/>
      <c r="AW325" s="1259"/>
      <c r="AX325" s="1259"/>
      <c r="AY325" s="1259"/>
      <c r="AZ325" s="1259"/>
      <c r="BA325" s="1259"/>
      <c r="BC325" s="1259"/>
      <c r="BE325" s="1259"/>
      <c r="BF325" s="1259"/>
      <c r="BG325" s="1259"/>
    </row>
    <row r="326" spans="18:59" x14ac:dyDescent="0.25">
      <c r="R326" s="1259"/>
      <c r="S326" s="1259"/>
      <c r="W326" s="1259"/>
      <c r="X326" s="1259"/>
      <c r="AE326" s="1259"/>
      <c r="AF326" s="1259"/>
      <c r="AV326" s="1259"/>
      <c r="AW326" s="1259"/>
      <c r="AX326" s="1259"/>
      <c r="AY326" s="1259"/>
      <c r="AZ326" s="1259"/>
      <c r="BA326" s="1259"/>
      <c r="BC326" s="1259"/>
      <c r="BE326" s="1259"/>
      <c r="BF326" s="1259"/>
      <c r="BG326" s="1259"/>
    </row>
    <row r="327" spans="18:59" x14ac:dyDescent="0.25">
      <c r="R327" s="1259"/>
      <c r="S327" s="1259"/>
      <c r="W327" s="1259"/>
      <c r="X327" s="1259"/>
      <c r="AE327" s="1259"/>
      <c r="AF327" s="1259"/>
      <c r="AV327" s="1259"/>
      <c r="AW327" s="1259"/>
      <c r="AX327" s="1259"/>
      <c r="AY327" s="1259"/>
      <c r="AZ327" s="1259"/>
      <c r="BA327" s="1259"/>
      <c r="BC327" s="1259"/>
      <c r="BE327" s="1259"/>
      <c r="BF327" s="1259"/>
      <c r="BG327" s="1259"/>
    </row>
    <row r="328" spans="18:59" x14ac:dyDescent="0.25">
      <c r="R328" s="1259"/>
      <c r="S328" s="1259"/>
      <c r="W328" s="1259"/>
      <c r="X328" s="1259"/>
      <c r="AE328" s="1259"/>
      <c r="AF328" s="1259"/>
      <c r="AV328" s="1259"/>
      <c r="AW328" s="1259"/>
      <c r="AX328" s="1259"/>
      <c r="AY328" s="1259"/>
      <c r="AZ328" s="1259"/>
      <c r="BA328" s="1259"/>
      <c r="BC328" s="1259"/>
      <c r="BE328" s="1259"/>
      <c r="BF328" s="1259"/>
      <c r="BG328" s="1259"/>
    </row>
    <row r="329" spans="18:59" x14ac:dyDescent="0.25">
      <c r="R329" s="1259"/>
      <c r="S329" s="1259"/>
      <c r="W329" s="1259"/>
      <c r="X329" s="1259"/>
      <c r="AE329" s="1259"/>
      <c r="AF329" s="1259"/>
      <c r="AV329" s="1259"/>
      <c r="AW329" s="1259"/>
      <c r="AX329" s="1259"/>
      <c r="AY329" s="1259"/>
      <c r="AZ329" s="1259"/>
      <c r="BA329" s="1259"/>
      <c r="BC329" s="1259"/>
      <c r="BE329" s="1259"/>
      <c r="BF329" s="1259"/>
      <c r="BG329" s="1259"/>
    </row>
    <row r="330" spans="18:59" x14ac:dyDescent="0.25">
      <c r="R330" s="1259"/>
      <c r="S330" s="1259"/>
      <c r="W330" s="1259"/>
      <c r="X330" s="1259"/>
      <c r="AE330" s="1259"/>
      <c r="AF330" s="1259"/>
      <c r="AV330" s="1259"/>
      <c r="AW330" s="1259"/>
      <c r="AX330" s="1259"/>
      <c r="AY330" s="1259"/>
      <c r="AZ330" s="1259"/>
      <c r="BA330" s="1259"/>
      <c r="BC330" s="1259"/>
      <c r="BE330" s="1259"/>
      <c r="BF330" s="1259"/>
      <c r="BG330" s="1259"/>
    </row>
    <row r="331" spans="18:59" x14ac:dyDescent="0.25">
      <c r="R331" s="1259"/>
      <c r="S331" s="1259"/>
      <c r="W331" s="1259"/>
      <c r="X331" s="1259"/>
      <c r="AE331" s="1259"/>
      <c r="AF331" s="1259"/>
      <c r="AV331" s="1259"/>
      <c r="AW331" s="1259"/>
      <c r="AX331" s="1259"/>
      <c r="AY331" s="1259"/>
      <c r="AZ331" s="1259"/>
      <c r="BA331" s="1259"/>
      <c r="BC331" s="1259"/>
      <c r="BE331" s="1259"/>
      <c r="BF331" s="1259"/>
      <c r="BG331" s="1259"/>
    </row>
    <row r="332" spans="18:59" x14ac:dyDescent="0.25">
      <c r="R332" s="1259"/>
      <c r="S332" s="1259"/>
      <c r="W332" s="1259"/>
      <c r="X332" s="1259"/>
      <c r="AE332" s="1259"/>
      <c r="AF332" s="1259"/>
      <c r="AV332" s="1259"/>
      <c r="AW332" s="1259"/>
      <c r="AX332" s="1259"/>
      <c r="AY332" s="1259"/>
      <c r="AZ332" s="1259"/>
      <c r="BA332" s="1259"/>
      <c r="BC332" s="1259"/>
      <c r="BE332" s="1259"/>
      <c r="BF332" s="1259"/>
      <c r="BG332" s="1259"/>
    </row>
    <row r="333" spans="18:59" x14ac:dyDescent="0.25">
      <c r="R333" s="1259"/>
      <c r="S333" s="1259"/>
      <c r="W333" s="1259"/>
      <c r="X333" s="1259"/>
      <c r="AE333" s="1259"/>
      <c r="AF333" s="1259"/>
      <c r="AV333" s="1259"/>
      <c r="AW333" s="1259"/>
      <c r="AX333" s="1259"/>
      <c r="AY333" s="1259"/>
      <c r="AZ333" s="1259"/>
      <c r="BA333" s="1259"/>
      <c r="BC333" s="1259"/>
      <c r="BE333" s="1259"/>
      <c r="BF333" s="1259"/>
      <c r="BG333" s="1259"/>
    </row>
    <row r="334" spans="18:59" x14ac:dyDescent="0.25">
      <c r="R334" s="1259"/>
      <c r="S334" s="1259"/>
      <c r="W334" s="1259"/>
      <c r="X334" s="1259"/>
      <c r="AE334" s="1259"/>
      <c r="AF334" s="1259"/>
      <c r="AV334" s="1259"/>
      <c r="AW334" s="1259"/>
      <c r="AX334" s="1259"/>
      <c r="AY334" s="1259"/>
      <c r="AZ334" s="1259"/>
      <c r="BA334" s="1259"/>
      <c r="BC334" s="1259"/>
      <c r="BE334" s="1259"/>
      <c r="BF334" s="1259"/>
      <c r="BG334" s="1259"/>
    </row>
    <row r="335" spans="18:59" x14ac:dyDescent="0.25">
      <c r="R335" s="1259"/>
      <c r="S335" s="1259"/>
      <c r="W335" s="1259"/>
      <c r="X335" s="1259"/>
      <c r="AE335" s="1259"/>
      <c r="AF335" s="1259"/>
      <c r="AV335" s="1259"/>
      <c r="AW335" s="1259"/>
      <c r="AX335" s="1259"/>
      <c r="AY335" s="1259"/>
      <c r="AZ335" s="1259"/>
      <c r="BA335" s="1259"/>
      <c r="BC335" s="1259"/>
      <c r="BE335" s="1259"/>
      <c r="BF335" s="1259"/>
      <c r="BG335" s="1259"/>
    </row>
    <row r="336" spans="18:59" x14ac:dyDescent="0.25">
      <c r="R336" s="1259"/>
      <c r="S336" s="1259"/>
      <c r="W336" s="1259"/>
      <c r="X336" s="1259"/>
      <c r="AE336" s="1259"/>
      <c r="AF336" s="1259"/>
      <c r="AV336" s="1259"/>
      <c r="AW336" s="1259"/>
      <c r="AX336" s="1259"/>
      <c r="AY336" s="1259"/>
      <c r="AZ336" s="1259"/>
      <c r="BA336" s="1259"/>
      <c r="BC336" s="1259"/>
      <c r="BE336" s="1259"/>
      <c r="BF336" s="1259"/>
      <c r="BG336" s="1259"/>
    </row>
    <row r="337" spans="18:59" x14ac:dyDescent="0.25">
      <c r="R337" s="1259"/>
      <c r="S337" s="1259"/>
      <c r="W337" s="1259"/>
      <c r="X337" s="1259"/>
      <c r="AE337" s="1259"/>
      <c r="AF337" s="1259"/>
      <c r="AV337" s="1259"/>
      <c r="AW337" s="1259"/>
      <c r="AX337" s="1259"/>
      <c r="AY337" s="1259"/>
      <c r="AZ337" s="1259"/>
      <c r="BA337" s="1259"/>
      <c r="BC337" s="1259"/>
      <c r="BE337" s="1259"/>
      <c r="BF337" s="1259"/>
      <c r="BG337" s="1259"/>
    </row>
    <row r="338" spans="18:59" x14ac:dyDescent="0.25">
      <c r="R338" s="1259"/>
      <c r="S338" s="1259"/>
      <c r="W338" s="1259"/>
      <c r="X338" s="1259"/>
      <c r="AE338" s="1259"/>
      <c r="AF338" s="1259"/>
      <c r="AV338" s="1259"/>
      <c r="AW338" s="1259"/>
      <c r="AX338" s="1259"/>
      <c r="AY338" s="1259"/>
      <c r="AZ338" s="1259"/>
      <c r="BA338" s="1259"/>
      <c r="BC338" s="1259"/>
      <c r="BE338" s="1259"/>
      <c r="BF338" s="1259"/>
      <c r="BG338" s="1259"/>
    </row>
    <row r="339" spans="18:59" x14ac:dyDescent="0.25">
      <c r="R339" s="1259"/>
      <c r="S339" s="1259"/>
      <c r="W339" s="1259"/>
      <c r="X339" s="1259"/>
      <c r="AE339" s="1259"/>
      <c r="AF339" s="1259"/>
      <c r="AV339" s="1259"/>
      <c r="AW339" s="1259"/>
      <c r="AX339" s="1259"/>
      <c r="AY339" s="1259"/>
      <c r="AZ339" s="1259"/>
      <c r="BA339" s="1259"/>
      <c r="BC339" s="1259"/>
      <c r="BE339" s="1259"/>
      <c r="BF339" s="1259"/>
      <c r="BG339" s="1259"/>
    </row>
    <row r="340" spans="18:59" x14ac:dyDescent="0.25">
      <c r="R340" s="1259"/>
      <c r="S340" s="1259"/>
      <c r="W340" s="1259"/>
      <c r="X340" s="1259"/>
      <c r="AE340" s="1259"/>
      <c r="AF340" s="1259"/>
      <c r="AV340" s="1259"/>
      <c r="AW340" s="1259"/>
      <c r="AX340" s="1259"/>
      <c r="AY340" s="1259"/>
      <c r="AZ340" s="1259"/>
      <c r="BA340" s="1259"/>
      <c r="BC340" s="1259"/>
      <c r="BE340" s="1259"/>
      <c r="BF340" s="1259"/>
      <c r="BG340" s="1259"/>
    </row>
    <row r="341" spans="18:59" x14ac:dyDescent="0.25">
      <c r="R341" s="1259"/>
      <c r="S341" s="1259"/>
      <c r="W341" s="1259"/>
      <c r="X341" s="1259"/>
      <c r="AE341" s="1259"/>
      <c r="AF341" s="1259"/>
      <c r="AV341" s="1259"/>
      <c r="AW341" s="1259"/>
      <c r="AX341" s="1259"/>
      <c r="AY341" s="1259"/>
      <c r="AZ341" s="1259"/>
      <c r="BA341" s="1259"/>
      <c r="BC341" s="1259"/>
      <c r="BE341" s="1259"/>
      <c r="BF341" s="1259"/>
      <c r="BG341" s="1259"/>
    </row>
    <row r="342" spans="18:59" x14ac:dyDescent="0.25">
      <c r="R342" s="1259"/>
      <c r="S342" s="1259"/>
      <c r="W342" s="1259"/>
      <c r="X342" s="1259"/>
      <c r="AE342" s="1259"/>
      <c r="AF342" s="1259"/>
      <c r="AV342" s="1259"/>
      <c r="AW342" s="1259"/>
      <c r="AX342" s="1259"/>
      <c r="AY342" s="1259"/>
      <c r="AZ342" s="1259"/>
      <c r="BA342" s="1259"/>
      <c r="BC342" s="1259"/>
      <c r="BE342" s="1259"/>
      <c r="BF342" s="1259"/>
      <c r="BG342" s="1259"/>
    </row>
    <row r="343" spans="18:59" x14ac:dyDescent="0.25">
      <c r="R343" s="1259"/>
      <c r="S343" s="1259"/>
      <c r="W343" s="1259"/>
      <c r="X343" s="1259"/>
      <c r="AE343" s="1259"/>
      <c r="AF343" s="1259"/>
      <c r="AV343" s="1259"/>
      <c r="AW343" s="1259"/>
      <c r="AX343" s="1259"/>
      <c r="AY343" s="1259"/>
      <c r="AZ343" s="1259"/>
      <c r="BA343" s="1259"/>
      <c r="BC343" s="1259"/>
      <c r="BE343" s="1259"/>
      <c r="BF343" s="1259"/>
      <c r="BG343" s="1259"/>
    </row>
    <row r="344" spans="18:59" x14ac:dyDescent="0.25">
      <c r="R344" s="1259"/>
      <c r="S344" s="1259"/>
      <c r="W344" s="1259"/>
      <c r="X344" s="1259"/>
      <c r="AE344" s="1259"/>
      <c r="AF344" s="1259"/>
      <c r="AV344" s="1259"/>
      <c r="AW344" s="1259"/>
      <c r="AX344" s="1259"/>
      <c r="AY344" s="1259"/>
      <c r="AZ344" s="1259"/>
      <c r="BA344" s="1259"/>
      <c r="BC344" s="1259"/>
      <c r="BE344" s="1259"/>
      <c r="BF344" s="1259"/>
      <c r="BG344" s="1259"/>
    </row>
    <row r="345" spans="18:59" x14ac:dyDescent="0.25">
      <c r="R345" s="1259"/>
      <c r="S345" s="1259"/>
      <c r="W345" s="1259"/>
      <c r="X345" s="1259"/>
      <c r="AE345" s="1259"/>
      <c r="AF345" s="1259"/>
      <c r="AV345" s="1259"/>
      <c r="AW345" s="1259"/>
      <c r="AX345" s="1259"/>
      <c r="AY345" s="1259"/>
      <c r="AZ345" s="1259"/>
      <c r="BA345" s="1259"/>
      <c r="BC345" s="1259"/>
      <c r="BE345" s="1259"/>
      <c r="BF345" s="1259"/>
      <c r="BG345" s="1259"/>
    </row>
    <row r="346" spans="18:59" x14ac:dyDescent="0.25">
      <c r="R346" s="1259"/>
      <c r="S346" s="1259"/>
      <c r="W346" s="1259"/>
      <c r="X346" s="1259"/>
      <c r="AE346" s="1259"/>
      <c r="AF346" s="1259"/>
      <c r="AV346" s="1259"/>
      <c r="AW346" s="1259"/>
      <c r="AX346" s="1259"/>
      <c r="AY346" s="1259"/>
      <c r="AZ346" s="1259"/>
      <c r="BA346" s="1259"/>
      <c r="BC346" s="1259"/>
      <c r="BE346" s="1259"/>
      <c r="BF346" s="1259"/>
      <c r="BG346" s="1259"/>
    </row>
    <row r="347" spans="18:59" x14ac:dyDescent="0.25">
      <c r="R347" s="1259"/>
      <c r="S347" s="1259"/>
      <c r="W347" s="1259"/>
      <c r="X347" s="1259"/>
      <c r="AE347" s="1259"/>
      <c r="AF347" s="1259"/>
      <c r="AV347" s="1259"/>
      <c r="AW347" s="1259"/>
      <c r="AX347" s="1259"/>
      <c r="AY347" s="1259"/>
      <c r="AZ347" s="1259"/>
      <c r="BA347" s="1259"/>
      <c r="BC347" s="1259"/>
      <c r="BE347" s="1259"/>
      <c r="BF347" s="1259"/>
      <c r="BG347" s="1259"/>
    </row>
    <row r="348" spans="18:59" x14ac:dyDescent="0.25">
      <c r="R348" s="1259"/>
      <c r="S348" s="1259"/>
      <c r="W348" s="1259"/>
      <c r="X348" s="1259"/>
      <c r="AE348" s="1259"/>
      <c r="AF348" s="1259"/>
      <c r="AV348" s="1259"/>
      <c r="AW348" s="1259"/>
      <c r="AX348" s="1259"/>
      <c r="AY348" s="1259"/>
      <c r="AZ348" s="1259"/>
      <c r="BA348" s="1259"/>
      <c r="BC348" s="1259"/>
      <c r="BE348" s="1259"/>
      <c r="BF348" s="1259"/>
      <c r="BG348" s="1259"/>
    </row>
    <row r="349" spans="18:59" x14ac:dyDescent="0.25">
      <c r="R349" s="1259"/>
      <c r="S349" s="1259"/>
      <c r="W349" s="1259"/>
      <c r="X349" s="1259"/>
      <c r="AE349" s="1259"/>
      <c r="AF349" s="1259"/>
      <c r="AV349" s="1259"/>
      <c r="AW349" s="1259"/>
      <c r="AX349" s="1259"/>
      <c r="AY349" s="1259"/>
      <c r="AZ349" s="1259"/>
      <c r="BA349" s="1259"/>
      <c r="BC349" s="1259"/>
      <c r="BE349" s="1259"/>
      <c r="BF349" s="1259"/>
      <c r="BG349" s="1259"/>
    </row>
    <row r="350" spans="18:59" x14ac:dyDescent="0.25">
      <c r="R350" s="1259"/>
      <c r="S350" s="1259"/>
      <c r="W350" s="1259"/>
      <c r="X350" s="1259"/>
      <c r="AE350" s="1259"/>
      <c r="AF350" s="1259"/>
      <c r="AV350" s="1259"/>
      <c r="AW350" s="1259"/>
      <c r="AX350" s="1259"/>
      <c r="AY350" s="1259"/>
      <c r="AZ350" s="1259"/>
      <c r="BA350" s="1259"/>
      <c r="BC350" s="1259"/>
      <c r="BE350" s="1259"/>
      <c r="BF350" s="1259"/>
      <c r="BG350" s="1259"/>
    </row>
    <row r="351" spans="18:59" x14ac:dyDescent="0.25">
      <c r="R351" s="1259"/>
      <c r="S351" s="1259"/>
      <c r="W351" s="1259"/>
      <c r="X351" s="1259"/>
      <c r="AE351" s="1259"/>
      <c r="AF351" s="1259"/>
      <c r="AV351" s="1259"/>
      <c r="AW351" s="1259"/>
      <c r="AX351" s="1259"/>
      <c r="AY351" s="1259"/>
      <c r="AZ351" s="1259"/>
      <c r="BA351" s="1259"/>
      <c r="BC351" s="1259"/>
      <c r="BE351" s="1259"/>
      <c r="BF351" s="1259"/>
      <c r="BG351" s="1259"/>
    </row>
    <row r="352" spans="18:59" x14ac:dyDescent="0.25">
      <c r="R352" s="1259"/>
      <c r="S352" s="1259"/>
      <c r="W352" s="1259"/>
      <c r="X352" s="1259"/>
      <c r="AE352" s="1259"/>
      <c r="AF352" s="1259"/>
      <c r="AV352" s="1259"/>
      <c r="AW352" s="1259"/>
      <c r="AX352" s="1259"/>
      <c r="AY352" s="1259"/>
      <c r="AZ352" s="1259"/>
      <c r="BA352" s="1259"/>
      <c r="BC352" s="1259"/>
      <c r="BE352" s="1259"/>
      <c r="BF352" s="1259"/>
      <c r="BG352" s="1259"/>
    </row>
    <row r="353" spans="18:59" x14ac:dyDescent="0.25">
      <c r="R353" s="1259"/>
      <c r="S353" s="1259"/>
      <c r="W353" s="1259"/>
      <c r="X353" s="1259"/>
      <c r="AE353" s="1259"/>
      <c r="AF353" s="1259"/>
      <c r="AV353" s="1259"/>
      <c r="AW353" s="1259"/>
      <c r="AX353" s="1259"/>
      <c r="AY353" s="1259"/>
      <c r="AZ353" s="1259"/>
      <c r="BA353" s="1259"/>
      <c r="BC353" s="1259"/>
      <c r="BE353" s="1259"/>
      <c r="BF353" s="1259"/>
      <c r="BG353" s="1259"/>
    </row>
    <row r="354" spans="18:59" x14ac:dyDescent="0.25">
      <c r="R354" s="1259"/>
      <c r="S354" s="1259"/>
      <c r="W354" s="1259"/>
      <c r="X354" s="1259"/>
      <c r="AE354" s="1259"/>
      <c r="AF354" s="1259"/>
      <c r="AV354" s="1259"/>
      <c r="AW354" s="1259"/>
      <c r="AX354" s="1259"/>
      <c r="AY354" s="1259"/>
      <c r="AZ354" s="1259"/>
      <c r="BA354" s="1259"/>
      <c r="BC354" s="1259"/>
      <c r="BE354" s="1259"/>
      <c r="BF354" s="1259"/>
      <c r="BG354" s="1259"/>
    </row>
    <row r="355" spans="18:59" x14ac:dyDescent="0.25">
      <c r="R355" s="1259"/>
      <c r="S355" s="1259"/>
      <c r="W355" s="1259"/>
      <c r="X355" s="1259"/>
      <c r="AE355" s="1259"/>
      <c r="AF355" s="1259"/>
      <c r="AV355" s="1259"/>
      <c r="AW355" s="1259"/>
      <c r="AX355" s="1259"/>
      <c r="AY355" s="1259"/>
      <c r="AZ355" s="1259"/>
      <c r="BA355" s="1259"/>
      <c r="BC355" s="1259"/>
      <c r="BE355" s="1259"/>
      <c r="BF355" s="1259"/>
      <c r="BG355" s="1259"/>
    </row>
    <row r="356" spans="18:59" x14ac:dyDescent="0.25">
      <c r="R356" s="1259"/>
      <c r="S356" s="1259"/>
      <c r="W356" s="1259"/>
      <c r="X356" s="1259"/>
      <c r="AE356" s="1259"/>
      <c r="AF356" s="1259"/>
      <c r="AV356" s="1259"/>
      <c r="AW356" s="1259"/>
      <c r="AX356" s="1259"/>
      <c r="AY356" s="1259"/>
      <c r="AZ356" s="1259"/>
      <c r="BA356" s="1259"/>
      <c r="BC356" s="1259"/>
      <c r="BE356" s="1259"/>
      <c r="BF356" s="1259"/>
      <c r="BG356" s="1259"/>
    </row>
    <row r="357" spans="18:59" x14ac:dyDescent="0.25">
      <c r="R357" s="1259"/>
      <c r="S357" s="1259"/>
      <c r="W357" s="1259"/>
      <c r="X357" s="1259"/>
      <c r="AE357" s="1259"/>
      <c r="AF357" s="1259"/>
      <c r="AV357" s="1259"/>
      <c r="AW357" s="1259"/>
      <c r="AX357" s="1259"/>
      <c r="AY357" s="1259"/>
      <c r="AZ357" s="1259"/>
      <c r="BA357" s="1259"/>
      <c r="BC357" s="1259"/>
      <c r="BE357" s="1259"/>
      <c r="BF357" s="1259"/>
      <c r="BG357" s="1259"/>
    </row>
    <row r="358" spans="18:59" x14ac:dyDescent="0.25">
      <c r="R358" s="1259"/>
      <c r="S358" s="1259"/>
      <c r="W358" s="1259"/>
      <c r="X358" s="1259"/>
      <c r="AE358" s="1259"/>
      <c r="AF358" s="1259"/>
      <c r="AV358" s="1259"/>
      <c r="AW358" s="1259"/>
      <c r="AX358" s="1259"/>
      <c r="AY358" s="1259"/>
      <c r="AZ358" s="1259"/>
      <c r="BA358" s="1259"/>
      <c r="BC358" s="1259"/>
      <c r="BE358" s="1259"/>
      <c r="BF358" s="1259"/>
      <c r="BG358" s="1259"/>
    </row>
    <row r="359" spans="18:59" x14ac:dyDescent="0.25">
      <c r="R359" s="1259"/>
      <c r="S359" s="1259"/>
      <c r="W359" s="1259"/>
      <c r="X359" s="1259"/>
      <c r="AE359" s="1259"/>
      <c r="AF359" s="1259"/>
      <c r="AV359" s="1259"/>
      <c r="AW359" s="1259"/>
      <c r="AX359" s="1259"/>
      <c r="AY359" s="1259"/>
      <c r="AZ359" s="1259"/>
      <c r="BA359" s="1259"/>
      <c r="BC359" s="1259"/>
      <c r="BE359" s="1259"/>
      <c r="BF359" s="1259"/>
      <c r="BG359" s="1259"/>
    </row>
    <row r="360" spans="18:59" x14ac:dyDescent="0.25">
      <c r="R360" s="1259"/>
      <c r="S360" s="1259"/>
      <c r="W360" s="1259"/>
      <c r="X360" s="1259"/>
      <c r="AE360" s="1259"/>
      <c r="AF360" s="1259"/>
      <c r="AV360" s="1259"/>
      <c r="AW360" s="1259"/>
      <c r="AX360" s="1259"/>
      <c r="AY360" s="1259"/>
      <c r="AZ360" s="1259"/>
      <c r="BA360" s="1259"/>
      <c r="BC360" s="1259"/>
      <c r="BE360" s="1259"/>
      <c r="BF360" s="1259"/>
      <c r="BG360" s="1259"/>
    </row>
    <row r="361" spans="18:59" x14ac:dyDescent="0.25">
      <c r="R361" s="1259"/>
      <c r="S361" s="1259"/>
      <c r="W361" s="1259"/>
      <c r="X361" s="1259"/>
      <c r="AE361" s="1259"/>
      <c r="AF361" s="1259"/>
      <c r="AV361" s="1259"/>
      <c r="AW361" s="1259"/>
      <c r="AX361" s="1259"/>
      <c r="AY361" s="1259"/>
      <c r="AZ361" s="1259"/>
      <c r="BA361" s="1259"/>
      <c r="BC361" s="1259"/>
      <c r="BE361" s="1259"/>
      <c r="BF361" s="1259"/>
      <c r="BG361" s="1259"/>
    </row>
    <row r="362" spans="18:59" x14ac:dyDescent="0.25">
      <c r="R362" s="1259"/>
      <c r="S362" s="1259"/>
      <c r="W362" s="1259"/>
      <c r="X362" s="1259"/>
      <c r="AE362" s="1259"/>
      <c r="AF362" s="1259"/>
      <c r="AV362" s="1259"/>
      <c r="AW362" s="1259"/>
      <c r="AX362" s="1259"/>
      <c r="AY362" s="1259"/>
      <c r="AZ362" s="1259"/>
      <c r="BA362" s="1259"/>
      <c r="BC362" s="1259"/>
      <c r="BE362" s="1259"/>
      <c r="BF362" s="1259"/>
      <c r="BG362" s="1259"/>
    </row>
    <row r="363" spans="18:59" x14ac:dyDescent="0.25">
      <c r="R363" s="1259"/>
      <c r="S363" s="1259"/>
      <c r="W363" s="1259"/>
      <c r="X363" s="1259"/>
      <c r="AE363" s="1259"/>
      <c r="AF363" s="1259"/>
      <c r="AV363" s="1259"/>
      <c r="AW363" s="1259"/>
      <c r="AX363" s="1259"/>
      <c r="AY363" s="1259"/>
      <c r="AZ363" s="1259"/>
      <c r="BA363" s="1259"/>
      <c r="BC363" s="1259"/>
      <c r="BE363" s="1259"/>
      <c r="BF363" s="1259"/>
      <c r="BG363" s="1259"/>
    </row>
    <row r="364" spans="18:59" x14ac:dyDescent="0.25">
      <c r="R364" s="1259"/>
      <c r="S364" s="1259"/>
      <c r="W364" s="1259"/>
      <c r="X364" s="1259"/>
      <c r="AE364" s="1259"/>
      <c r="AF364" s="1259"/>
      <c r="AV364" s="1259"/>
      <c r="AW364" s="1259"/>
      <c r="AX364" s="1259"/>
      <c r="AY364" s="1259"/>
      <c r="AZ364" s="1259"/>
      <c r="BA364" s="1259"/>
      <c r="BC364" s="1259"/>
      <c r="BE364" s="1259"/>
      <c r="BF364" s="1259"/>
      <c r="BG364" s="1259"/>
    </row>
    <row r="365" spans="18:59" x14ac:dyDescent="0.25">
      <c r="R365" s="1259"/>
      <c r="S365" s="1259"/>
      <c r="W365" s="1259"/>
      <c r="X365" s="1259"/>
      <c r="AE365" s="1259"/>
      <c r="AF365" s="1259"/>
      <c r="AV365" s="1259"/>
      <c r="AW365" s="1259"/>
      <c r="AX365" s="1259"/>
      <c r="AY365" s="1259"/>
      <c r="AZ365" s="1259"/>
      <c r="BA365" s="1259"/>
      <c r="BC365" s="1259"/>
      <c r="BE365" s="1259"/>
      <c r="BF365" s="1259"/>
      <c r="BG365" s="1259"/>
    </row>
    <row r="366" spans="18:59" x14ac:dyDescent="0.25">
      <c r="R366" s="1259"/>
      <c r="S366" s="1259"/>
      <c r="W366" s="1259"/>
      <c r="X366" s="1259"/>
      <c r="AE366" s="1259"/>
      <c r="AF366" s="1259"/>
      <c r="AV366" s="1259"/>
      <c r="AW366" s="1259"/>
      <c r="AX366" s="1259"/>
      <c r="AY366" s="1259"/>
      <c r="AZ366" s="1259"/>
      <c r="BA366" s="1259"/>
      <c r="BC366" s="1259"/>
      <c r="BE366" s="1259"/>
      <c r="BF366" s="1259"/>
      <c r="BG366" s="1259"/>
    </row>
    <row r="367" spans="18:59" x14ac:dyDescent="0.25">
      <c r="R367" s="1259"/>
      <c r="S367" s="1259"/>
      <c r="W367" s="1259"/>
      <c r="X367" s="1259"/>
      <c r="AE367" s="1259"/>
      <c r="AF367" s="1259"/>
      <c r="AV367" s="1259"/>
      <c r="AW367" s="1259"/>
      <c r="AX367" s="1259"/>
      <c r="AY367" s="1259"/>
      <c r="AZ367" s="1259"/>
      <c r="BA367" s="1259"/>
      <c r="BC367" s="1259"/>
      <c r="BE367" s="1259"/>
      <c r="BF367" s="1259"/>
      <c r="BG367" s="1259"/>
    </row>
    <row r="368" spans="18:59" x14ac:dyDescent="0.25">
      <c r="R368" s="1259"/>
      <c r="S368" s="1259"/>
      <c r="W368" s="1259"/>
      <c r="X368" s="1259"/>
      <c r="AE368" s="1259"/>
      <c r="AF368" s="1259"/>
      <c r="AV368" s="1259"/>
      <c r="AW368" s="1259"/>
      <c r="AX368" s="1259"/>
      <c r="AY368" s="1259"/>
      <c r="AZ368" s="1259"/>
      <c r="BA368" s="1259"/>
      <c r="BC368" s="1259"/>
      <c r="BE368" s="1259"/>
      <c r="BF368" s="1259"/>
      <c r="BG368" s="1259"/>
    </row>
    <row r="369" spans="18:59" x14ac:dyDescent="0.25">
      <c r="R369" s="1259"/>
      <c r="S369" s="1259"/>
      <c r="W369" s="1259"/>
      <c r="X369" s="1259"/>
      <c r="AE369" s="1259"/>
      <c r="AF369" s="1259"/>
      <c r="AV369" s="1259"/>
      <c r="AW369" s="1259"/>
      <c r="AX369" s="1259"/>
      <c r="AY369" s="1259"/>
      <c r="AZ369" s="1259"/>
      <c r="BA369" s="1259"/>
      <c r="BC369" s="1259"/>
      <c r="BE369" s="1259"/>
      <c r="BF369" s="1259"/>
      <c r="BG369" s="1259"/>
    </row>
    <row r="370" spans="18:59" x14ac:dyDescent="0.25">
      <c r="R370" s="1259"/>
      <c r="S370" s="1259"/>
      <c r="W370" s="1259"/>
      <c r="X370" s="1259"/>
      <c r="AE370" s="1259"/>
      <c r="AF370" s="1259"/>
      <c r="AV370" s="1259"/>
      <c r="AW370" s="1259"/>
      <c r="AX370" s="1259"/>
      <c r="AY370" s="1259"/>
      <c r="AZ370" s="1259"/>
      <c r="BA370" s="1259"/>
      <c r="BC370" s="1259"/>
      <c r="BE370" s="1259"/>
      <c r="BF370" s="1259"/>
      <c r="BG370" s="1259"/>
    </row>
    <row r="371" spans="18:59" x14ac:dyDescent="0.25">
      <c r="R371" s="1259"/>
      <c r="S371" s="1259"/>
      <c r="W371" s="1259"/>
      <c r="X371" s="1259"/>
      <c r="AE371" s="1259"/>
      <c r="AF371" s="1259"/>
      <c r="AV371" s="1259"/>
      <c r="AW371" s="1259"/>
      <c r="AX371" s="1259"/>
      <c r="AY371" s="1259"/>
      <c r="AZ371" s="1259"/>
      <c r="BA371" s="1259"/>
      <c r="BC371" s="1259"/>
      <c r="BE371" s="1259"/>
      <c r="BF371" s="1259"/>
      <c r="BG371" s="1259"/>
    </row>
    <row r="372" spans="18:59" x14ac:dyDescent="0.25">
      <c r="R372" s="1259"/>
      <c r="S372" s="1259"/>
      <c r="W372" s="1259"/>
      <c r="X372" s="1259"/>
      <c r="AE372" s="1259"/>
      <c r="AF372" s="1259"/>
      <c r="AV372" s="1259"/>
      <c r="AW372" s="1259"/>
      <c r="AX372" s="1259"/>
      <c r="AY372" s="1259"/>
      <c r="AZ372" s="1259"/>
      <c r="BA372" s="1259"/>
      <c r="BC372" s="1259"/>
      <c r="BE372" s="1259"/>
      <c r="BF372" s="1259"/>
      <c r="BG372" s="1259"/>
    </row>
    <row r="373" spans="18:59" x14ac:dyDescent="0.25">
      <c r="R373" s="1259"/>
      <c r="S373" s="1259"/>
      <c r="W373" s="1259"/>
      <c r="X373" s="1259"/>
      <c r="AE373" s="1259"/>
      <c r="AF373" s="1259"/>
      <c r="AV373" s="1259"/>
      <c r="AW373" s="1259"/>
      <c r="AX373" s="1259"/>
      <c r="AY373" s="1259"/>
      <c r="AZ373" s="1259"/>
      <c r="BA373" s="1259"/>
      <c r="BC373" s="1259"/>
      <c r="BE373" s="1259"/>
      <c r="BF373" s="1259"/>
      <c r="BG373" s="1259"/>
    </row>
    <row r="374" spans="18:59" x14ac:dyDescent="0.25">
      <c r="R374" s="1259"/>
      <c r="S374" s="1259"/>
      <c r="W374" s="1259"/>
      <c r="X374" s="1259"/>
      <c r="AE374" s="1259"/>
      <c r="AF374" s="1259"/>
      <c r="AV374" s="1259"/>
      <c r="AW374" s="1259"/>
      <c r="AX374" s="1259"/>
      <c r="AY374" s="1259"/>
      <c r="AZ374" s="1259"/>
      <c r="BA374" s="1259"/>
      <c r="BC374" s="1259"/>
      <c r="BE374" s="1259"/>
      <c r="BF374" s="1259"/>
      <c r="BG374" s="1259"/>
    </row>
    <row r="375" spans="18:59" x14ac:dyDescent="0.25">
      <c r="R375" s="1259"/>
      <c r="S375" s="1259"/>
      <c r="W375" s="1259"/>
      <c r="X375" s="1259"/>
      <c r="AE375" s="1259"/>
      <c r="AF375" s="1259"/>
      <c r="AV375" s="1259"/>
      <c r="AW375" s="1259"/>
      <c r="AX375" s="1259"/>
      <c r="AY375" s="1259"/>
      <c r="AZ375" s="1259"/>
      <c r="BA375" s="1259"/>
      <c r="BC375" s="1259"/>
      <c r="BE375" s="1259"/>
      <c r="BF375" s="1259"/>
      <c r="BG375" s="1259"/>
    </row>
    <row r="376" spans="18:59" x14ac:dyDescent="0.25">
      <c r="R376" s="1259"/>
      <c r="S376" s="1259"/>
      <c r="W376" s="1259"/>
      <c r="X376" s="1259"/>
      <c r="AE376" s="1259"/>
      <c r="AF376" s="1259"/>
      <c r="AV376" s="1259"/>
      <c r="AW376" s="1259"/>
      <c r="AX376" s="1259"/>
      <c r="AY376" s="1259"/>
      <c r="AZ376" s="1259"/>
      <c r="BA376" s="1259"/>
      <c r="BC376" s="1259"/>
      <c r="BE376" s="1259"/>
      <c r="BF376" s="1259"/>
      <c r="BG376" s="1259"/>
    </row>
    <row r="377" spans="18:59" x14ac:dyDescent="0.25">
      <c r="R377" s="1259"/>
      <c r="S377" s="1259"/>
      <c r="W377" s="1259"/>
      <c r="X377" s="1259"/>
      <c r="AE377" s="1259"/>
      <c r="AF377" s="1259"/>
      <c r="AV377" s="1259"/>
      <c r="AW377" s="1259"/>
      <c r="AX377" s="1259"/>
      <c r="AY377" s="1259"/>
      <c r="AZ377" s="1259"/>
      <c r="BA377" s="1259"/>
      <c r="BC377" s="1259"/>
      <c r="BE377" s="1259"/>
      <c r="BF377" s="1259"/>
      <c r="BG377" s="1259"/>
    </row>
    <row r="378" spans="18:59" x14ac:dyDescent="0.25">
      <c r="R378" s="1259"/>
      <c r="S378" s="1259"/>
      <c r="W378" s="1259"/>
      <c r="X378" s="1259"/>
      <c r="AE378" s="1259"/>
      <c r="AF378" s="1259"/>
      <c r="AV378" s="1259"/>
      <c r="AW378" s="1259"/>
      <c r="AX378" s="1259"/>
      <c r="AY378" s="1259"/>
      <c r="AZ378" s="1259"/>
      <c r="BA378" s="1259"/>
      <c r="BC378" s="1259"/>
      <c r="BE378" s="1259"/>
      <c r="BF378" s="1259"/>
      <c r="BG378" s="1259"/>
    </row>
    <row r="379" spans="18:59" x14ac:dyDescent="0.25">
      <c r="R379" s="1259"/>
      <c r="S379" s="1259"/>
      <c r="W379" s="1259"/>
      <c r="X379" s="1259"/>
      <c r="AE379" s="1259"/>
      <c r="AF379" s="1259"/>
      <c r="AV379" s="1259"/>
      <c r="AW379" s="1259"/>
      <c r="AX379" s="1259"/>
      <c r="AY379" s="1259"/>
      <c r="AZ379" s="1259"/>
      <c r="BA379" s="1259"/>
      <c r="BC379" s="1259"/>
      <c r="BE379" s="1259"/>
      <c r="BF379" s="1259"/>
      <c r="BG379" s="1259"/>
    </row>
    <row r="380" spans="18:59" x14ac:dyDescent="0.25">
      <c r="R380" s="1259"/>
      <c r="S380" s="1259"/>
      <c r="W380" s="1259"/>
      <c r="X380" s="1259"/>
      <c r="AE380" s="1259"/>
      <c r="AF380" s="1259"/>
      <c r="AV380" s="1259"/>
      <c r="AW380" s="1259"/>
      <c r="AX380" s="1259"/>
      <c r="AY380" s="1259"/>
      <c r="AZ380" s="1259"/>
      <c r="BA380" s="1259"/>
      <c r="BC380" s="1259"/>
      <c r="BE380" s="1259"/>
      <c r="BF380" s="1259"/>
      <c r="BG380" s="1259"/>
    </row>
    <row r="381" spans="18:59" x14ac:dyDescent="0.25">
      <c r="R381" s="1259"/>
      <c r="S381" s="1259"/>
      <c r="W381" s="1259"/>
      <c r="X381" s="1259"/>
      <c r="AE381" s="1259"/>
      <c r="AF381" s="1259"/>
      <c r="AV381" s="1259"/>
      <c r="AW381" s="1259"/>
      <c r="AX381" s="1259"/>
      <c r="AY381" s="1259"/>
      <c r="AZ381" s="1259"/>
      <c r="BA381" s="1259"/>
      <c r="BC381" s="1259"/>
      <c r="BE381" s="1259"/>
      <c r="BF381" s="1259"/>
      <c r="BG381" s="1259"/>
    </row>
    <row r="382" spans="18:59" x14ac:dyDescent="0.25">
      <c r="R382" s="1259"/>
      <c r="S382" s="1259"/>
      <c r="W382" s="1259"/>
      <c r="X382" s="1259"/>
      <c r="AE382" s="1259"/>
      <c r="AF382" s="1259"/>
      <c r="AV382" s="1259"/>
      <c r="AW382" s="1259"/>
      <c r="AX382" s="1259"/>
      <c r="AY382" s="1259"/>
      <c r="AZ382" s="1259"/>
      <c r="BA382" s="1259"/>
      <c r="BC382" s="1259"/>
      <c r="BE382" s="1259"/>
      <c r="BF382" s="1259"/>
      <c r="BG382" s="1259"/>
    </row>
    <row r="383" spans="18:59" x14ac:dyDescent="0.25">
      <c r="R383" s="1259"/>
      <c r="S383" s="1259"/>
      <c r="W383" s="1259"/>
      <c r="X383" s="1259"/>
      <c r="AE383" s="1259"/>
      <c r="AF383" s="1259"/>
      <c r="AV383" s="1259"/>
      <c r="AW383" s="1259"/>
      <c r="AX383" s="1259"/>
      <c r="AY383" s="1259"/>
      <c r="AZ383" s="1259"/>
      <c r="BA383" s="1259"/>
      <c r="BC383" s="1259"/>
      <c r="BE383" s="1259"/>
      <c r="BF383" s="1259"/>
      <c r="BG383" s="1259"/>
    </row>
    <row r="384" spans="18:59" x14ac:dyDescent="0.25">
      <c r="R384" s="1259"/>
      <c r="S384" s="1259"/>
      <c r="W384" s="1259"/>
      <c r="X384" s="1259"/>
      <c r="AE384" s="1259"/>
      <c r="AF384" s="1259"/>
      <c r="AV384" s="1259"/>
      <c r="AW384" s="1259"/>
      <c r="AX384" s="1259"/>
      <c r="AY384" s="1259"/>
      <c r="AZ384" s="1259"/>
      <c r="BA384" s="1259"/>
      <c r="BC384" s="1259"/>
      <c r="BE384" s="1259"/>
      <c r="BF384" s="1259"/>
      <c r="BG384" s="1259"/>
    </row>
    <row r="385" spans="18:59" x14ac:dyDescent="0.25">
      <c r="R385" s="1259"/>
      <c r="S385" s="1259"/>
      <c r="W385" s="1259"/>
      <c r="X385" s="1259"/>
      <c r="AE385" s="1259"/>
      <c r="AF385" s="1259"/>
      <c r="AV385" s="1259"/>
      <c r="AW385" s="1259"/>
      <c r="AX385" s="1259"/>
      <c r="AY385" s="1259"/>
      <c r="AZ385" s="1259"/>
      <c r="BA385" s="1259"/>
      <c r="BC385" s="1259"/>
      <c r="BE385" s="1259"/>
      <c r="BF385" s="1259"/>
      <c r="BG385" s="1259"/>
    </row>
    <row r="386" spans="18:59" x14ac:dyDescent="0.25">
      <c r="R386" s="1259"/>
      <c r="S386" s="1259"/>
      <c r="W386" s="1259"/>
      <c r="X386" s="1259"/>
      <c r="AE386" s="1259"/>
      <c r="AF386" s="1259"/>
      <c r="AV386" s="1259"/>
      <c r="AW386" s="1259"/>
      <c r="AX386" s="1259"/>
      <c r="AY386" s="1259"/>
      <c r="AZ386" s="1259"/>
      <c r="BA386" s="1259"/>
      <c r="BC386" s="1259"/>
      <c r="BE386" s="1259"/>
      <c r="BF386" s="1259"/>
      <c r="BG386" s="1259"/>
    </row>
    <row r="387" spans="18:59" x14ac:dyDescent="0.25">
      <c r="R387" s="1259"/>
      <c r="S387" s="1259"/>
      <c r="W387" s="1259"/>
      <c r="X387" s="1259"/>
      <c r="AE387" s="1259"/>
      <c r="AF387" s="1259"/>
      <c r="AV387" s="1259"/>
      <c r="AW387" s="1259"/>
      <c r="AX387" s="1259"/>
      <c r="AY387" s="1259"/>
      <c r="AZ387" s="1259"/>
      <c r="BA387" s="1259"/>
      <c r="BC387" s="1259"/>
      <c r="BE387" s="1259"/>
      <c r="BF387" s="1259"/>
      <c r="BG387" s="1259"/>
    </row>
    <row r="388" spans="18:59" x14ac:dyDescent="0.25">
      <c r="R388" s="1259"/>
      <c r="S388" s="1259"/>
      <c r="W388" s="1259"/>
      <c r="X388" s="1259"/>
      <c r="AE388" s="1259"/>
      <c r="AF388" s="1259"/>
      <c r="AV388" s="1259"/>
      <c r="AW388" s="1259"/>
      <c r="AX388" s="1259"/>
      <c r="AY388" s="1259"/>
      <c r="AZ388" s="1259"/>
      <c r="BA388" s="1259"/>
      <c r="BC388" s="1259"/>
      <c r="BE388" s="1259"/>
      <c r="BF388" s="1259"/>
      <c r="BG388" s="1259"/>
    </row>
    <row r="389" spans="18:59" x14ac:dyDescent="0.25">
      <c r="R389" s="1259"/>
      <c r="S389" s="1259"/>
      <c r="W389" s="1259"/>
      <c r="X389" s="1259"/>
      <c r="AE389" s="1259"/>
      <c r="AF389" s="1259"/>
      <c r="AV389" s="1259"/>
      <c r="AW389" s="1259"/>
      <c r="AX389" s="1259"/>
      <c r="AY389" s="1259"/>
      <c r="AZ389" s="1259"/>
      <c r="BA389" s="1259"/>
      <c r="BC389" s="1259"/>
      <c r="BE389" s="1259"/>
      <c r="BF389" s="1259"/>
      <c r="BG389" s="1259"/>
    </row>
    <row r="390" spans="18:59" x14ac:dyDescent="0.25">
      <c r="R390" s="1259"/>
      <c r="S390" s="1259"/>
      <c r="W390" s="1259"/>
      <c r="X390" s="1259"/>
      <c r="AE390" s="1259"/>
      <c r="AF390" s="1259"/>
      <c r="AV390" s="1259"/>
      <c r="AW390" s="1259"/>
      <c r="AX390" s="1259"/>
      <c r="AY390" s="1259"/>
      <c r="AZ390" s="1259"/>
      <c r="BA390" s="1259"/>
      <c r="BC390" s="1259"/>
      <c r="BE390" s="1259"/>
      <c r="BF390" s="1259"/>
      <c r="BG390" s="1259"/>
    </row>
    <row r="391" spans="18:59" x14ac:dyDescent="0.25">
      <c r="R391" s="1259"/>
      <c r="S391" s="1259"/>
      <c r="W391" s="1259"/>
      <c r="X391" s="1259"/>
      <c r="AE391" s="1259"/>
      <c r="AF391" s="1259"/>
      <c r="AV391" s="1259"/>
      <c r="AW391" s="1259"/>
      <c r="AX391" s="1259"/>
      <c r="AY391" s="1259"/>
      <c r="AZ391" s="1259"/>
      <c r="BA391" s="1259"/>
      <c r="BC391" s="1259"/>
      <c r="BE391" s="1259"/>
      <c r="BF391" s="1259"/>
      <c r="BG391" s="1259"/>
    </row>
    <row r="392" spans="18:59" x14ac:dyDescent="0.25">
      <c r="R392" s="1259"/>
      <c r="S392" s="1259"/>
      <c r="W392" s="1259"/>
      <c r="X392" s="1259"/>
      <c r="AE392" s="1259"/>
      <c r="AF392" s="1259"/>
      <c r="AV392" s="1259"/>
      <c r="AW392" s="1259"/>
      <c r="AX392" s="1259"/>
      <c r="AY392" s="1259"/>
      <c r="AZ392" s="1259"/>
      <c r="BA392" s="1259"/>
      <c r="BC392" s="1259"/>
      <c r="BE392" s="1259"/>
      <c r="BF392" s="1259"/>
      <c r="BG392" s="1259"/>
    </row>
    <row r="393" spans="18:59" x14ac:dyDescent="0.25">
      <c r="R393" s="1259"/>
      <c r="S393" s="1259"/>
      <c r="W393" s="1259"/>
      <c r="X393" s="1259"/>
      <c r="AE393" s="1259"/>
      <c r="AF393" s="1259"/>
      <c r="AV393" s="1259"/>
      <c r="AW393" s="1259"/>
      <c r="AX393" s="1259"/>
      <c r="AY393" s="1259"/>
      <c r="AZ393" s="1259"/>
      <c r="BA393" s="1259"/>
      <c r="BC393" s="1259"/>
      <c r="BE393" s="1259"/>
      <c r="BF393" s="1259"/>
      <c r="BG393" s="1259"/>
    </row>
    <row r="394" spans="18:59" x14ac:dyDescent="0.25">
      <c r="R394" s="1259"/>
      <c r="S394" s="1259"/>
      <c r="W394" s="1259"/>
      <c r="X394" s="1259"/>
      <c r="AE394" s="1259"/>
      <c r="AF394" s="1259"/>
      <c r="AV394" s="1259"/>
      <c r="AW394" s="1259"/>
      <c r="AX394" s="1259"/>
      <c r="AY394" s="1259"/>
      <c r="AZ394" s="1259"/>
      <c r="BA394" s="1259"/>
      <c r="BC394" s="1259"/>
      <c r="BE394" s="1259"/>
      <c r="BF394" s="1259"/>
      <c r="BG394" s="1259"/>
    </row>
    <row r="395" spans="18:59" x14ac:dyDescent="0.25">
      <c r="R395" s="1259"/>
      <c r="S395" s="1259"/>
      <c r="W395" s="1259"/>
      <c r="X395" s="1259"/>
      <c r="AE395" s="1259"/>
      <c r="AF395" s="1259"/>
      <c r="AV395" s="1259"/>
      <c r="AW395" s="1259"/>
      <c r="AX395" s="1259"/>
      <c r="AY395" s="1259"/>
      <c r="AZ395" s="1259"/>
      <c r="BA395" s="1259"/>
      <c r="BC395" s="1259"/>
      <c r="BE395" s="1259"/>
      <c r="BF395" s="1259"/>
      <c r="BG395" s="1259"/>
    </row>
    <row r="396" spans="18:59" x14ac:dyDescent="0.25">
      <c r="R396" s="1259"/>
      <c r="S396" s="1259"/>
      <c r="W396" s="1259"/>
      <c r="X396" s="1259"/>
      <c r="AE396" s="1259"/>
      <c r="AF396" s="1259"/>
      <c r="AV396" s="1259"/>
      <c r="AW396" s="1259"/>
      <c r="AX396" s="1259"/>
      <c r="AY396" s="1259"/>
      <c r="AZ396" s="1259"/>
      <c r="BA396" s="1259"/>
      <c r="BC396" s="1259"/>
      <c r="BE396" s="1259"/>
      <c r="BF396" s="1259"/>
      <c r="BG396" s="1259"/>
    </row>
    <row r="397" spans="18:59" x14ac:dyDescent="0.25">
      <c r="R397" s="1259"/>
      <c r="S397" s="1259"/>
      <c r="W397" s="1259"/>
      <c r="X397" s="1259"/>
      <c r="AE397" s="1259"/>
      <c r="AF397" s="1259"/>
      <c r="AV397" s="1259"/>
      <c r="AW397" s="1259"/>
      <c r="AX397" s="1259"/>
      <c r="AY397" s="1259"/>
      <c r="AZ397" s="1259"/>
      <c r="BA397" s="1259"/>
      <c r="BC397" s="1259"/>
      <c r="BE397" s="1259"/>
      <c r="BF397" s="1259"/>
      <c r="BG397" s="1259"/>
    </row>
    <row r="398" spans="18:59" x14ac:dyDescent="0.25">
      <c r="R398" s="1259"/>
      <c r="S398" s="1259"/>
      <c r="W398" s="1259"/>
      <c r="X398" s="1259"/>
      <c r="AE398" s="1259"/>
      <c r="AF398" s="1259"/>
      <c r="AV398" s="1259"/>
      <c r="AW398" s="1259"/>
      <c r="AX398" s="1259"/>
      <c r="AY398" s="1259"/>
      <c r="AZ398" s="1259"/>
      <c r="BA398" s="1259"/>
      <c r="BC398" s="1259"/>
      <c r="BE398" s="1259"/>
      <c r="BF398" s="1259"/>
      <c r="BG398" s="1259"/>
    </row>
    <row r="399" spans="18:59" x14ac:dyDescent="0.25">
      <c r="R399" s="1259"/>
      <c r="S399" s="1259"/>
      <c r="W399" s="1259"/>
      <c r="X399" s="1259"/>
      <c r="AE399" s="1259"/>
      <c r="AF399" s="1259"/>
      <c r="AV399" s="1259"/>
      <c r="AW399" s="1259"/>
      <c r="AX399" s="1259"/>
      <c r="AY399" s="1259"/>
      <c r="AZ399" s="1259"/>
      <c r="BA399" s="1259"/>
      <c r="BC399" s="1259"/>
      <c r="BE399" s="1259"/>
      <c r="BF399" s="1259"/>
      <c r="BG399" s="1259"/>
    </row>
    <row r="400" spans="18:59" x14ac:dyDescent="0.25">
      <c r="R400" s="1259"/>
      <c r="S400" s="1259"/>
      <c r="W400" s="1259"/>
      <c r="X400" s="1259"/>
      <c r="AE400" s="1259"/>
      <c r="AF400" s="1259"/>
      <c r="AV400" s="1259"/>
      <c r="AW400" s="1259"/>
      <c r="AX400" s="1259"/>
      <c r="AY400" s="1259"/>
      <c r="AZ400" s="1259"/>
      <c r="BA400" s="1259"/>
      <c r="BC400" s="1259"/>
      <c r="BE400" s="1259"/>
      <c r="BF400" s="1259"/>
      <c r="BG400" s="1259"/>
    </row>
    <row r="401" spans="18:59" x14ac:dyDescent="0.25">
      <c r="R401" s="1259"/>
      <c r="S401" s="1259"/>
      <c r="W401" s="1259"/>
      <c r="X401" s="1259"/>
      <c r="AE401" s="1259"/>
      <c r="AF401" s="1259"/>
      <c r="AV401" s="1259"/>
      <c r="AW401" s="1259"/>
      <c r="AX401" s="1259"/>
      <c r="AY401" s="1259"/>
      <c r="AZ401" s="1259"/>
      <c r="BA401" s="1259"/>
      <c r="BC401" s="1259"/>
      <c r="BE401" s="1259"/>
      <c r="BF401" s="1259"/>
      <c r="BG401" s="1259"/>
    </row>
    <row r="402" spans="18:59" x14ac:dyDescent="0.25">
      <c r="R402" s="1259"/>
      <c r="S402" s="1259"/>
      <c r="W402" s="1259"/>
      <c r="X402" s="1259"/>
      <c r="AE402" s="1259"/>
      <c r="AF402" s="1259"/>
      <c r="AV402" s="1259"/>
      <c r="AW402" s="1259"/>
      <c r="AX402" s="1259"/>
      <c r="AY402" s="1259"/>
      <c r="AZ402" s="1259"/>
      <c r="BA402" s="1259"/>
      <c r="BC402" s="1259"/>
      <c r="BE402" s="1259"/>
      <c r="BF402" s="1259"/>
      <c r="BG402" s="1259"/>
    </row>
    <row r="403" spans="18:59" x14ac:dyDescent="0.25">
      <c r="R403" s="1259"/>
      <c r="S403" s="1259"/>
      <c r="W403" s="1259"/>
      <c r="X403" s="1259"/>
      <c r="AE403" s="1259"/>
      <c r="AF403" s="1259"/>
      <c r="AV403" s="1259"/>
      <c r="AW403" s="1259"/>
      <c r="AX403" s="1259"/>
      <c r="AY403" s="1259"/>
      <c r="AZ403" s="1259"/>
      <c r="BA403" s="1259"/>
      <c r="BC403" s="1259"/>
      <c r="BE403" s="1259"/>
      <c r="BF403" s="1259"/>
      <c r="BG403" s="1259"/>
    </row>
    <row r="404" spans="18:59" x14ac:dyDescent="0.25">
      <c r="R404" s="1259"/>
      <c r="S404" s="1259"/>
      <c r="W404" s="1259"/>
      <c r="X404" s="1259"/>
      <c r="AE404" s="1259"/>
      <c r="AF404" s="1259"/>
      <c r="AV404" s="1259"/>
      <c r="AW404" s="1259"/>
      <c r="AX404" s="1259"/>
      <c r="AY404" s="1259"/>
      <c r="AZ404" s="1259"/>
      <c r="BA404" s="1259"/>
      <c r="BC404" s="1259"/>
      <c r="BE404" s="1259"/>
      <c r="BF404" s="1259"/>
      <c r="BG404" s="1259"/>
    </row>
    <row r="405" spans="18:59" x14ac:dyDescent="0.25">
      <c r="R405" s="1259"/>
      <c r="S405" s="1259"/>
      <c r="W405" s="1259"/>
      <c r="X405" s="1259"/>
      <c r="AE405" s="1259"/>
      <c r="AF405" s="1259"/>
      <c r="AV405" s="1259"/>
      <c r="AW405" s="1259"/>
      <c r="AX405" s="1259"/>
      <c r="AY405" s="1259"/>
      <c r="AZ405" s="1259"/>
      <c r="BA405" s="1259"/>
      <c r="BC405" s="1259"/>
      <c r="BE405" s="1259"/>
      <c r="BF405" s="1259"/>
      <c r="BG405" s="1259"/>
    </row>
    <row r="406" spans="18:59" x14ac:dyDescent="0.25">
      <c r="R406" s="1259"/>
      <c r="S406" s="1259"/>
      <c r="W406" s="1259"/>
      <c r="X406" s="1259"/>
      <c r="AE406" s="1259"/>
      <c r="AF406" s="1259"/>
      <c r="AV406" s="1259"/>
      <c r="AW406" s="1259"/>
      <c r="AX406" s="1259"/>
      <c r="AY406" s="1259"/>
      <c r="AZ406" s="1259"/>
      <c r="BA406" s="1259"/>
      <c r="BC406" s="1259"/>
      <c r="BE406" s="1259"/>
      <c r="BF406" s="1259"/>
      <c r="BG406" s="1259"/>
    </row>
    <row r="407" spans="18:59" x14ac:dyDescent="0.25">
      <c r="R407" s="1259"/>
      <c r="S407" s="1259"/>
      <c r="W407" s="1259"/>
      <c r="X407" s="1259"/>
      <c r="AE407" s="1259"/>
      <c r="AF407" s="1259"/>
      <c r="AV407" s="1259"/>
      <c r="AW407" s="1259"/>
      <c r="AX407" s="1259"/>
      <c r="AY407" s="1259"/>
      <c r="AZ407" s="1259"/>
      <c r="BA407" s="1259"/>
      <c r="BC407" s="1259"/>
      <c r="BE407" s="1259"/>
      <c r="BF407" s="1259"/>
      <c r="BG407" s="1259"/>
    </row>
    <row r="408" spans="18:59" x14ac:dyDescent="0.25">
      <c r="R408" s="1259"/>
      <c r="S408" s="1259"/>
      <c r="W408" s="1259"/>
      <c r="X408" s="1259"/>
      <c r="AE408" s="1259"/>
      <c r="AF408" s="1259"/>
      <c r="AV408" s="1259"/>
      <c r="AW408" s="1259"/>
      <c r="AX408" s="1259"/>
      <c r="AY408" s="1259"/>
      <c r="AZ408" s="1259"/>
      <c r="BA408" s="1259"/>
      <c r="BC408" s="1259"/>
      <c r="BE408" s="1259"/>
      <c r="BF408" s="1259"/>
      <c r="BG408" s="1259"/>
    </row>
    <row r="409" spans="18:59" x14ac:dyDescent="0.25">
      <c r="R409" s="1259"/>
      <c r="S409" s="1259"/>
      <c r="W409" s="1259"/>
      <c r="X409" s="1259"/>
      <c r="AE409" s="1259"/>
      <c r="AF409" s="1259"/>
      <c r="AV409" s="1259"/>
      <c r="AW409" s="1259"/>
      <c r="AX409" s="1259"/>
      <c r="AY409" s="1259"/>
      <c r="AZ409" s="1259"/>
      <c r="BA409" s="1259"/>
      <c r="BC409" s="1259"/>
      <c r="BE409" s="1259"/>
      <c r="BF409" s="1259"/>
      <c r="BG409" s="1259"/>
    </row>
    <row r="410" spans="18:59" x14ac:dyDescent="0.25">
      <c r="R410" s="1259"/>
      <c r="S410" s="1259"/>
      <c r="W410" s="1259"/>
      <c r="X410" s="1259"/>
      <c r="AE410" s="1259"/>
      <c r="AF410" s="1259"/>
      <c r="AV410" s="1259"/>
      <c r="AW410" s="1259"/>
      <c r="AX410" s="1259"/>
      <c r="AY410" s="1259"/>
      <c r="AZ410" s="1259"/>
      <c r="BA410" s="1259"/>
      <c r="BC410" s="1259"/>
      <c r="BE410" s="1259"/>
      <c r="BF410" s="1259"/>
      <c r="BG410" s="1259"/>
    </row>
    <row r="411" spans="18:59" x14ac:dyDescent="0.25">
      <c r="R411" s="1259"/>
      <c r="S411" s="1259"/>
      <c r="W411" s="1259"/>
      <c r="X411" s="1259"/>
      <c r="AE411" s="1259"/>
      <c r="AF411" s="1259"/>
      <c r="AV411" s="1259"/>
      <c r="AW411" s="1259"/>
      <c r="AX411" s="1259"/>
      <c r="AY411" s="1259"/>
      <c r="AZ411" s="1259"/>
      <c r="BA411" s="1259"/>
      <c r="BC411" s="1259"/>
      <c r="BE411" s="1259"/>
      <c r="BF411" s="1259"/>
      <c r="BG411" s="1259"/>
    </row>
    <row r="412" spans="18:59" x14ac:dyDescent="0.25">
      <c r="R412" s="1259"/>
      <c r="S412" s="1259"/>
      <c r="W412" s="1259"/>
      <c r="X412" s="1259"/>
      <c r="AE412" s="1259"/>
      <c r="AF412" s="1259"/>
      <c r="AV412" s="1259"/>
      <c r="AW412" s="1259"/>
      <c r="AX412" s="1259"/>
      <c r="AY412" s="1259"/>
      <c r="AZ412" s="1259"/>
      <c r="BA412" s="1259"/>
      <c r="BC412" s="1259"/>
      <c r="BE412" s="1259"/>
      <c r="BF412" s="1259"/>
      <c r="BG412" s="1259"/>
    </row>
    <row r="413" spans="18:59" x14ac:dyDescent="0.25">
      <c r="R413" s="1259"/>
      <c r="S413" s="1259"/>
      <c r="W413" s="1259"/>
      <c r="X413" s="1259"/>
      <c r="AE413" s="1259"/>
      <c r="AF413" s="1259"/>
      <c r="AV413" s="1259"/>
      <c r="AW413" s="1259"/>
      <c r="AX413" s="1259"/>
      <c r="AY413" s="1259"/>
      <c r="AZ413" s="1259"/>
      <c r="BA413" s="1259"/>
      <c r="BC413" s="1259"/>
      <c r="BE413" s="1259"/>
      <c r="BF413" s="1259"/>
      <c r="BG413" s="1259"/>
    </row>
    <row r="414" spans="18:59" x14ac:dyDescent="0.25">
      <c r="R414" s="1259"/>
      <c r="S414" s="1259"/>
      <c r="W414" s="1259"/>
      <c r="X414" s="1259"/>
      <c r="AE414" s="1259"/>
      <c r="AF414" s="1259"/>
      <c r="AV414" s="1259"/>
      <c r="AW414" s="1259"/>
      <c r="AX414" s="1259"/>
      <c r="AY414" s="1259"/>
      <c r="AZ414" s="1259"/>
      <c r="BA414" s="1259"/>
      <c r="BC414" s="1259"/>
      <c r="BE414" s="1259"/>
      <c r="BF414" s="1259"/>
      <c r="BG414" s="1259"/>
    </row>
    <row r="415" spans="18:59" x14ac:dyDescent="0.25">
      <c r="R415" s="1259"/>
      <c r="S415" s="1259"/>
      <c r="W415" s="1259"/>
      <c r="X415" s="1259"/>
      <c r="AE415" s="1259"/>
      <c r="AF415" s="1259"/>
      <c r="AV415" s="1259"/>
      <c r="AW415" s="1259"/>
      <c r="AX415" s="1259"/>
      <c r="AY415" s="1259"/>
      <c r="AZ415" s="1259"/>
      <c r="BA415" s="1259"/>
      <c r="BC415" s="1259"/>
      <c r="BE415" s="1259"/>
      <c r="BF415" s="1259"/>
      <c r="BG415" s="1259"/>
    </row>
    <row r="416" spans="18:59" x14ac:dyDescent="0.25">
      <c r="R416" s="1259"/>
      <c r="S416" s="1259"/>
      <c r="W416" s="1259"/>
      <c r="X416" s="1259"/>
      <c r="AE416" s="1259"/>
      <c r="AF416" s="1259"/>
      <c r="AV416" s="1259"/>
      <c r="AW416" s="1259"/>
      <c r="AX416" s="1259"/>
      <c r="AY416" s="1259"/>
      <c r="AZ416" s="1259"/>
      <c r="BA416" s="1259"/>
      <c r="BC416" s="1259"/>
      <c r="BE416" s="1259"/>
      <c r="BF416" s="1259"/>
      <c r="BG416" s="1259"/>
    </row>
    <row r="417" spans="18:59" x14ac:dyDescent="0.25">
      <c r="R417" s="1259"/>
      <c r="S417" s="1259"/>
      <c r="W417" s="1259"/>
      <c r="X417" s="1259"/>
      <c r="AE417" s="1259"/>
      <c r="AF417" s="1259"/>
      <c r="AV417" s="1259"/>
      <c r="AW417" s="1259"/>
      <c r="AX417" s="1259"/>
      <c r="AY417" s="1259"/>
      <c r="AZ417" s="1259"/>
      <c r="BA417" s="1259"/>
      <c r="BC417" s="1259"/>
      <c r="BE417" s="1259"/>
      <c r="BF417" s="1259"/>
      <c r="BG417" s="1259"/>
    </row>
    <row r="418" spans="18:59" x14ac:dyDescent="0.25">
      <c r="R418" s="1259"/>
      <c r="S418" s="1259"/>
      <c r="W418" s="1259"/>
      <c r="X418" s="1259"/>
      <c r="AE418" s="1259"/>
      <c r="AF418" s="1259"/>
      <c r="AV418" s="1259"/>
      <c r="AW418" s="1259"/>
      <c r="AX418" s="1259"/>
      <c r="AY418" s="1259"/>
      <c r="AZ418" s="1259"/>
      <c r="BA418" s="1259"/>
      <c r="BC418" s="1259"/>
      <c r="BE418" s="1259"/>
      <c r="BF418" s="1259"/>
      <c r="BG418" s="1259"/>
    </row>
    <row r="419" spans="18:59" x14ac:dyDescent="0.25">
      <c r="R419" s="1259"/>
      <c r="S419" s="1259"/>
      <c r="W419" s="1259"/>
      <c r="X419" s="1259"/>
      <c r="AE419" s="1259"/>
      <c r="AF419" s="1259"/>
      <c r="AV419" s="1259"/>
      <c r="AW419" s="1259"/>
      <c r="AX419" s="1259"/>
      <c r="AY419" s="1259"/>
      <c r="AZ419" s="1259"/>
      <c r="BA419" s="1259"/>
      <c r="BC419" s="1259"/>
      <c r="BE419" s="1259"/>
      <c r="BF419" s="1259"/>
      <c r="BG419" s="1259"/>
    </row>
    <row r="420" spans="18:59" x14ac:dyDescent="0.25">
      <c r="R420" s="1259"/>
      <c r="S420" s="1259"/>
      <c r="W420" s="1259"/>
      <c r="X420" s="1259"/>
      <c r="AE420" s="1259"/>
      <c r="AF420" s="1259"/>
      <c r="AV420" s="1259"/>
      <c r="AW420" s="1259"/>
      <c r="AX420" s="1259"/>
      <c r="AY420" s="1259"/>
      <c r="AZ420" s="1259"/>
      <c r="BA420" s="1259"/>
      <c r="BC420" s="1259"/>
      <c r="BE420" s="1259"/>
      <c r="BF420" s="1259"/>
      <c r="BG420" s="1259"/>
    </row>
    <row r="421" spans="18:59" x14ac:dyDescent="0.25">
      <c r="R421" s="1259"/>
      <c r="S421" s="1259"/>
      <c r="W421" s="1259"/>
      <c r="X421" s="1259"/>
      <c r="AE421" s="1259"/>
      <c r="AF421" s="1259"/>
      <c r="AV421" s="1259"/>
      <c r="AW421" s="1259"/>
      <c r="AX421" s="1259"/>
      <c r="AY421" s="1259"/>
      <c r="AZ421" s="1259"/>
      <c r="BA421" s="1259"/>
      <c r="BC421" s="1259"/>
      <c r="BE421" s="1259"/>
      <c r="BF421" s="1259"/>
      <c r="BG421" s="1259"/>
    </row>
    <row r="422" spans="18:59" x14ac:dyDescent="0.25">
      <c r="R422" s="1259"/>
      <c r="S422" s="1259"/>
      <c r="W422" s="1259"/>
      <c r="X422" s="1259"/>
      <c r="AE422" s="1259"/>
      <c r="AF422" s="1259"/>
      <c r="AV422" s="1259"/>
      <c r="AW422" s="1259"/>
      <c r="AX422" s="1259"/>
      <c r="AY422" s="1259"/>
      <c r="AZ422" s="1259"/>
      <c r="BA422" s="1259"/>
      <c r="BC422" s="1259"/>
      <c r="BE422" s="1259"/>
      <c r="BF422" s="1259"/>
      <c r="BG422" s="1259"/>
    </row>
    <row r="423" spans="18:59" x14ac:dyDescent="0.25">
      <c r="R423" s="1259"/>
      <c r="S423" s="1259"/>
      <c r="W423" s="1259"/>
      <c r="X423" s="1259"/>
      <c r="AE423" s="1259"/>
      <c r="AF423" s="1259"/>
      <c r="AV423" s="1259"/>
      <c r="AW423" s="1259"/>
      <c r="AX423" s="1259"/>
      <c r="AY423" s="1259"/>
      <c r="AZ423" s="1259"/>
      <c r="BA423" s="1259"/>
      <c r="BC423" s="1259"/>
      <c r="BE423" s="1259"/>
      <c r="BF423" s="1259"/>
      <c r="BG423" s="1259"/>
    </row>
    <row r="424" spans="18:59" x14ac:dyDescent="0.25">
      <c r="R424" s="1259"/>
      <c r="S424" s="1259"/>
      <c r="W424" s="1259"/>
      <c r="X424" s="1259"/>
      <c r="AE424" s="1259"/>
      <c r="AF424" s="1259"/>
      <c r="AV424" s="1259"/>
      <c r="AW424" s="1259"/>
      <c r="AX424" s="1259"/>
      <c r="AY424" s="1259"/>
      <c r="AZ424" s="1259"/>
      <c r="BA424" s="1259"/>
      <c r="BC424" s="1259"/>
      <c r="BE424" s="1259"/>
      <c r="BF424" s="1259"/>
      <c r="BG424" s="1259"/>
    </row>
    <row r="425" spans="18:59" x14ac:dyDescent="0.25">
      <c r="R425" s="1259"/>
      <c r="S425" s="1259"/>
      <c r="W425" s="1259"/>
      <c r="X425" s="1259"/>
      <c r="AE425" s="1259"/>
      <c r="AF425" s="1259"/>
      <c r="AV425" s="1259"/>
      <c r="AW425" s="1259"/>
      <c r="AX425" s="1259"/>
      <c r="AY425" s="1259"/>
      <c r="AZ425" s="1259"/>
      <c r="BA425" s="1259"/>
      <c r="BC425" s="1259"/>
      <c r="BE425" s="1259"/>
      <c r="BF425" s="1259"/>
      <c r="BG425" s="1259"/>
    </row>
    <row r="426" spans="18:59" x14ac:dyDescent="0.25">
      <c r="R426" s="1259"/>
      <c r="S426" s="1259"/>
      <c r="W426" s="1259"/>
      <c r="X426" s="1259"/>
      <c r="AE426" s="1259"/>
      <c r="AF426" s="1259"/>
      <c r="AV426" s="1259"/>
      <c r="AW426" s="1259"/>
      <c r="AX426" s="1259"/>
      <c r="AY426" s="1259"/>
      <c r="AZ426" s="1259"/>
      <c r="BA426" s="1259"/>
      <c r="BC426" s="1259"/>
      <c r="BE426" s="1259"/>
      <c r="BF426" s="1259"/>
      <c r="BG426" s="1259"/>
    </row>
    <row r="427" spans="18:59" x14ac:dyDescent="0.25">
      <c r="R427" s="1259"/>
      <c r="S427" s="1259"/>
      <c r="W427" s="1259"/>
      <c r="X427" s="1259"/>
      <c r="AE427" s="1259"/>
      <c r="AF427" s="1259"/>
      <c r="AV427" s="1259"/>
      <c r="AW427" s="1259"/>
      <c r="AX427" s="1259"/>
      <c r="AY427" s="1259"/>
      <c r="AZ427" s="1259"/>
      <c r="BA427" s="1259"/>
      <c r="BC427" s="1259"/>
      <c r="BE427" s="1259"/>
      <c r="BF427" s="1259"/>
      <c r="BG427" s="1259"/>
    </row>
    <row r="428" spans="18:59" x14ac:dyDescent="0.25">
      <c r="R428" s="1259"/>
      <c r="S428" s="1259"/>
      <c r="W428" s="1259"/>
      <c r="X428" s="1259"/>
      <c r="AE428" s="1259"/>
      <c r="AF428" s="1259"/>
      <c r="AV428" s="1259"/>
      <c r="AW428" s="1259"/>
      <c r="AX428" s="1259"/>
      <c r="AY428" s="1259"/>
      <c r="AZ428" s="1259"/>
      <c r="BA428" s="1259"/>
      <c r="BC428" s="1259"/>
      <c r="BE428" s="1259"/>
      <c r="BF428" s="1259"/>
      <c r="BG428" s="1259"/>
    </row>
    <row r="429" spans="18:59" x14ac:dyDescent="0.25">
      <c r="R429" s="1259"/>
      <c r="S429" s="1259"/>
      <c r="W429" s="1259"/>
      <c r="X429" s="1259"/>
      <c r="AE429" s="1259"/>
      <c r="AF429" s="1259"/>
      <c r="AV429" s="1259"/>
      <c r="AW429" s="1259"/>
      <c r="AX429" s="1259"/>
      <c r="AY429" s="1259"/>
      <c r="AZ429" s="1259"/>
      <c r="BA429" s="1259"/>
      <c r="BC429" s="1259"/>
      <c r="BE429" s="1259"/>
      <c r="BF429" s="1259"/>
      <c r="BG429" s="1259"/>
    </row>
    <row r="430" spans="18:59" x14ac:dyDescent="0.25">
      <c r="R430" s="1259"/>
      <c r="S430" s="1259"/>
      <c r="W430" s="1259"/>
      <c r="X430" s="1259"/>
      <c r="AE430" s="1259"/>
      <c r="AF430" s="1259"/>
      <c r="AV430" s="1259"/>
      <c r="AW430" s="1259"/>
      <c r="AX430" s="1259"/>
      <c r="AY430" s="1259"/>
      <c r="AZ430" s="1259"/>
      <c r="BA430" s="1259"/>
      <c r="BC430" s="1259"/>
      <c r="BE430" s="1259"/>
      <c r="BF430" s="1259"/>
      <c r="BG430" s="1259"/>
    </row>
    <row r="431" spans="18:59" x14ac:dyDescent="0.25">
      <c r="R431" s="1259"/>
      <c r="S431" s="1259"/>
      <c r="W431" s="1259"/>
      <c r="X431" s="1259"/>
      <c r="AE431" s="1259"/>
      <c r="AF431" s="1259"/>
      <c r="AV431" s="1259"/>
      <c r="AW431" s="1259"/>
      <c r="AX431" s="1259"/>
      <c r="AY431" s="1259"/>
      <c r="AZ431" s="1259"/>
      <c r="BA431" s="1259"/>
      <c r="BC431" s="1259"/>
      <c r="BE431" s="1259"/>
      <c r="BF431" s="1259"/>
      <c r="BG431" s="1259"/>
    </row>
    <row r="432" spans="18:59" x14ac:dyDescent="0.25">
      <c r="R432" s="1259"/>
      <c r="S432" s="1259"/>
      <c r="W432" s="1259"/>
      <c r="X432" s="1259"/>
      <c r="AE432" s="1259"/>
      <c r="AF432" s="1259"/>
      <c r="AV432" s="1259"/>
      <c r="AW432" s="1259"/>
      <c r="AX432" s="1259"/>
      <c r="AY432" s="1259"/>
      <c r="AZ432" s="1259"/>
      <c r="BA432" s="1259"/>
      <c r="BC432" s="1259"/>
      <c r="BE432" s="1259"/>
      <c r="BF432" s="1259"/>
      <c r="BG432" s="1259"/>
    </row>
    <row r="433" spans="18:59" x14ac:dyDescent="0.25">
      <c r="R433" s="1259"/>
      <c r="S433" s="1259"/>
      <c r="W433" s="1259"/>
      <c r="X433" s="1259"/>
      <c r="AE433" s="1259"/>
      <c r="AF433" s="1259"/>
      <c r="AV433" s="1259"/>
      <c r="AW433" s="1259"/>
      <c r="AX433" s="1259"/>
      <c r="AY433" s="1259"/>
      <c r="AZ433" s="1259"/>
      <c r="BA433" s="1259"/>
      <c r="BC433" s="1259"/>
      <c r="BE433" s="1259"/>
      <c r="BF433" s="1259"/>
      <c r="BG433" s="1259"/>
    </row>
    <row r="434" spans="18:59" x14ac:dyDescent="0.25">
      <c r="R434" s="1259"/>
      <c r="S434" s="1259"/>
      <c r="W434" s="1259"/>
      <c r="X434" s="1259"/>
      <c r="AE434" s="1259"/>
      <c r="AF434" s="1259"/>
      <c r="AV434" s="1259"/>
      <c r="AW434" s="1259"/>
      <c r="AX434" s="1259"/>
      <c r="AY434" s="1259"/>
      <c r="AZ434" s="1259"/>
      <c r="BA434" s="1259"/>
      <c r="BC434" s="1259"/>
      <c r="BE434" s="1259"/>
      <c r="BF434" s="1259"/>
      <c r="BG434" s="1259"/>
    </row>
    <row r="435" spans="18:59" x14ac:dyDescent="0.25">
      <c r="R435" s="1259"/>
      <c r="S435" s="1259"/>
      <c r="W435" s="1259"/>
      <c r="X435" s="1259"/>
      <c r="AE435" s="1259"/>
      <c r="AF435" s="1259"/>
      <c r="AV435" s="1259"/>
      <c r="AW435" s="1259"/>
      <c r="AX435" s="1259"/>
      <c r="AY435" s="1259"/>
      <c r="AZ435" s="1259"/>
      <c r="BA435" s="1259"/>
      <c r="BC435" s="1259"/>
      <c r="BE435" s="1259"/>
      <c r="BF435" s="1259"/>
      <c r="BG435" s="1259"/>
    </row>
    <row r="436" spans="18:59" x14ac:dyDescent="0.25">
      <c r="R436" s="1259"/>
      <c r="S436" s="1259"/>
      <c r="W436" s="1259"/>
      <c r="X436" s="1259"/>
      <c r="AE436" s="1259"/>
      <c r="AF436" s="1259"/>
      <c r="AV436" s="1259"/>
      <c r="AW436" s="1259"/>
      <c r="AX436" s="1259"/>
      <c r="AY436" s="1259"/>
      <c r="AZ436" s="1259"/>
      <c r="BA436" s="1259"/>
      <c r="BC436" s="1259"/>
      <c r="BE436" s="1259"/>
      <c r="BF436" s="1259"/>
      <c r="BG436" s="1259"/>
    </row>
    <row r="437" spans="18:59" x14ac:dyDescent="0.25">
      <c r="R437" s="1259"/>
      <c r="S437" s="1259"/>
      <c r="W437" s="1259"/>
      <c r="X437" s="1259"/>
      <c r="AE437" s="1259"/>
      <c r="AF437" s="1259"/>
      <c r="AV437" s="1259"/>
      <c r="AW437" s="1259"/>
      <c r="AX437" s="1259"/>
      <c r="AY437" s="1259"/>
      <c r="AZ437" s="1259"/>
      <c r="BA437" s="1259"/>
      <c r="BC437" s="1259"/>
      <c r="BE437" s="1259"/>
      <c r="BF437" s="1259"/>
      <c r="BG437" s="1259"/>
    </row>
    <row r="438" spans="18:59" x14ac:dyDescent="0.25">
      <c r="R438" s="1259"/>
      <c r="S438" s="1259"/>
      <c r="W438" s="1259"/>
      <c r="X438" s="1259"/>
      <c r="AE438" s="1259"/>
      <c r="AF438" s="1259"/>
      <c r="AV438" s="1259"/>
      <c r="AW438" s="1259"/>
      <c r="AX438" s="1259"/>
      <c r="AY438" s="1259"/>
      <c r="AZ438" s="1259"/>
      <c r="BA438" s="1259"/>
      <c r="BC438" s="1259"/>
      <c r="BE438" s="1259"/>
      <c r="BF438" s="1259"/>
      <c r="BG438" s="1259"/>
    </row>
    <row r="439" spans="18:59" x14ac:dyDescent="0.25">
      <c r="R439" s="1259"/>
      <c r="S439" s="1259"/>
      <c r="W439" s="1259"/>
      <c r="X439" s="1259"/>
      <c r="AE439" s="1259"/>
      <c r="AF439" s="1259"/>
      <c r="AV439" s="1259"/>
      <c r="AW439" s="1259"/>
      <c r="AX439" s="1259"/>
      <c r="AY439" s="1259"/>
      <c r="AZ439" s="1259"/>
      <c r="BA439" s="1259"/>
      <c r="BC439" s="1259"/>
      <c r="BE439" s="1259"/>
      <c r="BF439" s="1259"/>
      <c r="BG439" s="1259"/>
    </row>
    <row r="440" spans="18:59" x14ac:dyDescent="0.25">
      <c r="R440" s="1259"/>
      <c r="S440" s="1259"/>
      <c r="W440" s="1259"/>
      <c r="X440" s="1259"/>
      <c r="AE440" s="1259"/>
      <c r="AF440" s="1259"/>
      <c r="AV440" s="1259"/>
      <c r="AW440" s="1259"/>
      <c r="AX440" s="1259"/>
      <c r="AY440" s="1259"/>
      <c r="AZ440" s="1259"/>
      <c r="BA440" s="1259"/>
      <c r="BC440" s="1259"/>
      <c r="BE440" s="1259"/>
      <c r="BF440" s="1259"/>
      <c r="BG440" s="1259"/>
    </row>
    <row r="441" spans="18:59" x14ac:dyDescent="0.25">
      <c r="R441" s="1259"/>
      <c r="S441" s="1259"/>
      <c r="W441" s="1259"/>
      <c r="X441" s="1259"/>
      <c r="AE441" s="1259"/>
      <c r="AF441" s="1259"/>
      <c r="AV441" s="1259"/>
      <c r="AW441" s="1259"/>
      <c r="AX441" s="1259"/>
      <c r="AY441" s="1259"/>
      <c r="AZ441" s="1259"/>
      <c r="BA441" s="1259"/>
      <c r="BC441" s="1259"/>
      <c r="BE441" s="1259"/>
      <c r="BF441" s="1259"/>
      <c r="BG441" s="1259"/>
    </row>
    <row r="442" spans="18:59" x14ac:dyDescent="0.25">
      <c r="R442" s="1259"/>
      <c r="S442" s="1259"/>
      <c r="W442" s="1259"/>
      <c r="X442" s="1259"/>
      <c r="AE442" s="1259"/>
      <c r="AF442" s="1259"/>
      <c r="AV442" s="1259"/>
      <c r="AW442" s="1259"/>
      <c r="AX442" s="1259"/>
      <c r="AY442" s="1259"/>
      <c r="AZ442" s="1259"/>
      <c r="BA442" s="1259"/>
      <c r="BC442" s="1259"/>
      <c r="BE442" s="1259"/>
      <c r="BF442" s="1259"/>
      <c r="BG442" s="1259"/>
    </row>
    <row r="443" spans="18:59" x14ac:dyDescent="0.25">
      <c r="R443" s="1259"/>
      <c r="S443" s="1259"/>
      <c r="W443" s="1259"/>
      <c r="X443" s="1259"/>
      <c r="AE443" s="1259"/>
      <c r="AF443" s="1259"/>
      <c r="AV443" s="1259"/>
      <c r="AW443" s="1259"/>
      <c r="AX443" s="1259"/>
      <c r="AY443" s="1259"/>
      <c r="AZ443" s="1259"/>
      <c r="BA443" s="1259"/>
      <c r="BC443" s="1259"/>
      <c r="BE443" s="1259"/>
      <c r="BF443" s="1259"/>
      <c r="BG443" s="1259"/>
    </row>
    <row r="444" spans="18:59" x14ac:dyDescent="0.25">
      <c r="R444" s="1259"/>
      <c r="S444" s="1259"/>
      <c r="W444" s="1259"/>
      <c r="X444" s="1259"/>
      <c r="AE444" s="1259"/>
      <c r="AF444" s="1259"/>
      <c r="AV444" s="1259"/>
      <c r="AW444" s="1259"/>
      <c r="AX444" s="1259"/>
      <c r="AY444" s="1259"/>
      <c r="AZ444" s="1259"/>
      <c r="BA444" s="1259"/>
      <c r="BC444" s="1259"/>
      <c r="BE444" s="1259"/>
      <c r="BF444" s="1259"/>
      <c r="BG444" s="1259"/>
    </row>
    <row r="445" spans="18:59" x14ac:dyDescent="0.25">
      <c r="R445" s="1259"/>
      <c r="S445" s="1259"/>
      <c r="W445" s="1259"/>
      <c r="X445" s="1259"/>
      <c r="AE445" s="1259"/>
      <c r="AF445" s="1259"/>
      <c r="AV445" s="1259"/>
      <c r="AW445" s="1259"/>
      <c r="AX445" s="1259"/>
      <c r="AY445" s="1259"/>
      <c r="AZ445" s="1259"/>
      <c r="BA445" s="1259"/>
      <c r="BC445" s="1259"/>
      <c r="BE445" s="1259"/>
      <c r="BF445" s="1259"/>
      <c r="BG445" s="1259"/>
    </row>
    <row r="446" spans="18:59" x14ac:dyDescent="0.25">
      <c r="R446" s="1259"/>
      <c r="S446" s="1259"/>
      <c r="W446" s="1259"/>
      <c r="X446" s="1259"/>
      <c r="AE446" s="1259"/>
      <c r="AF446" s="1259"/>
      <c r="AV446" s="1259"/>
      <c r="AW446" s="1259"/>
      <c r="AX446" s="1259"/>
      <c r="AY446" s="1259"/>
      <c r="AZ446" s="1259"/>
      <c r="BA446" s="1259"/>
      <c r="BC446" s="1259"/>
      <c r="BE446" s="1259"/>
      <c r="BF446" s="1259"/>
      <c r="BG446" s="1259"/>
    </row>
    <row r="447" spans="18:59" x14ac:dyDescent="0.25">
      <c r="R447" s="1259"/>
      <c r="S447" s="1259"/>
      <c r="W447" s="1259"/>
      <c r="X447" s="1259"/>
      <c r="AE447" s="1259"/>
      <c r="AF447" s="1259"/>
      <c r="AV447" s="1259"/>
      <c r="AW447" s="1259"/>
      <c r="AX447" s="1259"/>
      <c r="AY447" s="1259"/>
      <c r="AZ447" s="1259"/>
      <c r="BA447" s="1259"/>
      <c r="BC447" s="1259"/>
      <c r="BE447" s="1259"/>
      <c r="BF447" s="1259"/>
      <c r="BG447" s="1259"/>
    </row>
    <row r="448" spans="18:59" x14ac:dyDescent="0.25">
      <c r="R448" s="1259"/>
      <c r="S448" s="1259"/>
      <c r="W448" s="1259"/>
      <c r="X448" s="1259"/>
      <c r="AE448" s="1259"/>
      <c r="AF448" s="1259"/>
      <c r="AV448" s="1259"/>
      <c r="AW448" s="1259"/>
      <c r="AX448" s="1259"/>
      <c r="AY448" s="1259"/>
      <c r="AZ448" s="1259"/>
      <c r="BA448" s="1259"/>
      <c r="BC448" s="1259"/>
      <c r="BE448" s="1259"/>
      <c r="BF448" s="1259"/>
      <c r="BG448" s="1259"/>
    </row>
    <row r="449" spans="18:59" x14ac:dyDescent="0.25">
      <c r="R449" s="1259"/>
      <c r="S449" s="1259"/>
      <c r="W449" s="1259"/>
      <c r="X449" s="1259"/>
      <c r="AE449" s="1259"/>
      <c r="AF449" s="1259"/>
      <c r="AV449" s="1259"/>
      <c r="AW449" s="1259"/>
      <c r="AX449" s="1259"/>
      <c r="AY449" s="1259"/>
      <c r="AZ449" s="1259"/>
      <c r="BA449" s="1259"/>
      <c r="BC449" s="1259"/>
      <c r="BE449" s="1259"/>
      <c r="BF449" s="1259"/>
      <c r="BG449" s="1259"/>
    </row>
    <row r="450" spans="18:59" x14ac:dyDescent="0.25">
      <c r="R450" s="1259"/>
      <c r="S450" s="1259"/>
      <c r="W450" s="1259"/>
      <c r="X450" s="1259"/>
      <c r="AE450" s="1259"/>
      <c r="AF450" s="1259"/>
      <c r="AV450" s="1259"/>
      <c r="AW450" s="1259"/>
      <c r="AX450" s="1259"/>
      <c r="AY450" s="1259"/>
      <c r="AZ450" s="1259"/>
      <c r="BA450" s="1259"/>
      <c r="BC450" s="1259"/>
      <c r="BE450" s="1259"/>
      <c r="BF450" s="1259"/>
      <c r="BG450" s="1259"/>
    </row>
    <row r="451" spans="18:59" x14ac:dyDescent="0.25">
      <c r="R451" s="1259"/>
      <c r="S451" s="1259"/>
      <c r="W451" s="1259"/>
      <c r="X451" s="1259"/>
      <c r="AE451" s="1259"/>
      <c r="AF451" s="1259"/>
      <c r="AV451" s="1259"/>
      <c r="AW451" s="1259"/>
      <c r="AX451" s="1259"/>
      <c r="AY451" s="1259"/>
      <c r="AZ451" s="1259"/>
      <c r="BA451" s="1259"/>
      <c r="BC451" s="1259"/>
      <c r="BE451" s="1259"/>
      <c r="BF451" s="1259"/>
      <c r="BG451" s="1259"/>
    </row>
    <row r="452" spans="18:59" x14ac:dyDescent="0.25">
      <c r="R452" s="1259"/>
      <c r="S452" s="1259"/>
      <c r="W452" s="1259"/>
      <c r="X452" s="1259"/>
      <c r="AE452" s="1259"/>
      <c r="AF452" s="1259"/>
      <c r="AV452" s="1259"/>
      <c r="AW452" s="1259"/>
      <c r="AX452" s="1259"/>
      <c r="AY452" s="1259"/>
      <c r="AZ452" s="1259"/>
      <c r="BA452" s="1259"/>
      <c r="BC452" s="1259"/>
      <c r="BE452" s="1259"/>
      <c r="BF452" s="1259"/>
      <c r="BG452" s="1259"/>
    </row>
    <row r="453" spans="18:59" x14ac:dyDescent="0.25">
      <c r="R453" s="1259"/>
      <c r="S453" s="1259"/>
      <c r="W453" s="1259"/>
      <c r="X453" s="1259"/>
      <c r="AE453" s="1259"/>
      <c r="AF453" s="1259"/>
      <c r="AV453" s="1259"/>
      <c r="AW453" s="1259"/>
      <c r="AX453" s="1259"/>
      <c r="AY453" s="1259"/>
      <c r="AZ453" s="1259"/>
      <c r="BA453" s="1259"/>
      <c r="BC453" s="1259"/>
      <c r="BE453" s="1259"/>
      <c r="BF453" s="1259"/>
      <c r="BG453" s="1259"/>
    </row>
    <row r="454" spans="18:59" x14ac:dyDescent="0.25">
      <c r="R454" s="1259"/>
      <c r="S454" s="1259"/>
      <c r="W454" s="1259"/>
      <c r="X454" s="1259"/>
      <c r="AE454" s="1259"/>
      <c r="AF454" s="1259"/>
      <c r="AV454" s="1259"/>
      <c r="AW454" s="1259"/>
      <c r="AX454" s="1259"/>
      <c r="AY454" s="1259"/>
      <c r="AZ454" s="1259"/>
      <c r="BA454" s="1259"/>
      <c r="BC454" s="1259"/>
      <c r="BE454" s="1259"/>
      <c r="BF454" s="1259"/>
      <c r="BG454" s="1259"/>
    </row>
    <row r="455" spans="18:59" x14ac:dyDescent="0.25">
      <c r="R455" s="1259"/>
      <c r="S455" s="1259"/>
      <c r="W455" s="1259"/>
      <c r="X455" s="1259"/>
      <c r="AE455" s="1259"/>
      <c r="AF455" s="1259"/>
      <c r="AV455" s="1259"/>
      <c r="AW455" s="1259"/>
      <c r="AX455" s="1259"/>
      <c r="AY455" s="1259"/>
      <c r="AZ455" s="1259"/>
      <c r="BA455" s="1259"/>
      <c r="BC455" s="1259"/>
      <c r="BE455" s="1259"/>
      <c r="BF455" s="1259"/>
      <c r="BG455" s="1259"/>
    </row>
    <row r="456" spans="18:59" x14ac:dyDescent="0.25">
      <c r="R456" s="1259"/>
      <c r="S456" s="1259"/>
      <c r="W456" s="1259"/>
      <c r="X456" s="1259"/>
      <c r="AE456" s="1259"/>
      <c r="AF456" s="1259"/>
      <c r="AV456" s="1259"/>
      <c r="AW456" s="1259"/>
      <c r="AX456" s="1259"/>
      <c r="AY456" s="1259"/>
      <c r="AZ456" s="1259"/>
      <c r="BA456" s="1259"/>
      <c r="BC456" s="1259"/>
      <c r="BE456" s="1259"/>
      <c r="BF456" s="1259"/>
      <c r="BG456" s="1259"/>
    </row>
    <row r="457" spans="18:59" x14ac:dyDescent="0.25">
      <c r="R457" s="1259"/>
      <c r="S457" s="1259"/>
      <c r="W457" s="1259"/>
      <c r="X457" s="1259"/>
      <c r="AE457" s="1259"/>
      <c r="AF457" s="1259"/>
      <c r="AV457" s="1259"/>
      <c r="AW457" s="1259"/>
      <c r="AX457" s="1259"/>
      <c r="AY457" s="1259"/>
      <c r="AZ457" s="1259"/>
      <c r="BA457" s="1259"/>
      <c r="BC457" s="1259"/>
      <c r="BE457" s="1259"/>
      <c r="BF457" s="1259"/>
      <c r="BG457" s="1259"/>
    </row>
    <row r="458" spans="18:59" x14ac:dyDescent="0.25">
      <c r="R458" s="1259"/>
      <c r="S458" s="1259"/>
      <c r="W458" s="1259"/>
      <c r="X458" s="1259"/>
      <c r="AE458" s="1259"/>
      <c r="AF458" s="1259"/>
      <c r="AV458" s="1259"/>
      <c r="AW458" s="1259"/>
      <c r="AX458" s="1259"/>
      <c r="AY458" s="1259"/>
      <c r="AZ458" s="1259"/>
      <c r="BA458" s="1259"/>
      <c r="BC458" s="1259"/>
      <c r="BE458" s="1259"/>
      <c r="BF458" s="1259"/>
      <c r="BG458" s="1259"/>
    </row>
    <row r="459" spans="18:59" x14ac:dyDescent="0.25">
      <c r="R459" s="1259"/>
      <c r="S459" s="1259"/>
      <c r="W459" s="1259"/>
      <c r="X459" s="1259"/>
      <c r="AE459" s="1259"/>
      <c r="AF459" s="1259"/>
      <c r="AV459" s="1259"/>
      <c r="AW459" s="1259"/>
      <c r="AX459" s="1259"/>
      <c r="AY459" s="1259"/>
      <c r="AZ459" s="1259"/>
      <c r="BA459" s="1259"/>
      <c r="BC459" s="1259"/>
      <c r="BE459" s="1259"/>
      <c r="BF459" s="1259"/>
      <c r="BG459" s="1259"/>
    </row>
    <row r="460" spans="18:59" x14ac:dyDescent="0.25">
      <c r="R460" s="1259"/>
      <c r="S460" s="1259"/>
      <c r="W460" s="1259"/>
      <c r="X460" s="1259"/>
      <c r="AE460" s="1259"/>
      <c r="AF460" s="1259"/>
      <c r="AV460" s="1259"/>
      <c r="AW460" s="1259"/>
      <c r="AX460" s="1259"/>
      <c r="AY460" s="1259"/>
      <c r="AZ460" s="1259"/>
      <c r="BA460" s="1259"/>
      <c r="BC460" s="1259"/>
      <c r="BE460" s="1259"/>
      <c r="BF460" s="1259"/>
      <c r="BG460" s="1259"/>
    </row>
    <row r="461" spans="18:59" x14ac:dyDescent="0.25">
      <c r="R461" s="1259"/>
      <c r="S461" s="1259"/>
      <c r="W461" s="1259"/>
      <c r="X461" s="1259"/>
      <c r="AE461" s="1259"/>
      <c r="AF461" s="1259"/>
      <c r="AV461" s="1259"/>
      <c r="AW461" s="1259"/>
      <c r="AX461" s="1259"/>
      <c r="AY461" s="1259"/>
      <c r="AZ461" s="1259"/>
      <c r="BA461" s="1259"/>
      <c r="BC461" s="1259"/>
      <c r="BE461" s="1259"/>
      <c r="BF461" s="1259"/>
      <c r="BG461" s="1259"/>
    </row>
    <row r="462" spans="18:59" x14ac:dyDescent="0.25">
      <c r="R462" s="1259"/>
      <c r="S462" s="1259"/>
      <c r="W462" s="1259"/>
      <c r="X462" s="1259"/>
      <c r="AE462" s="1259"/>
      <c r="AF462" s="1259"/>
      <c r="AV462" s="1259"/>
      <c r="AW462" s="1259"/>
      <c r="AX462" s="1259"/>
      <c r="AY462" s="1259"/>
      <c r="AZ462" s="1259"/>
      <c r="BA462" s="1259"/>
      <c r="BC462" s="1259"/>
      <c r="BE462" s="1259"/>
      <c r="BF462" s="1259"/>
      <c r="BG462" s="1259"/>
    </row>
    <row r="463" spans="18:59" x14ac:dyDescent="0.25">
      <c r="R463" s="1259"/>
      <c r="S463" s="1259"/>
      <c r="W463" s="1259"/>
      <c r="X463" s="1259"/>
      <c r="AE463" s="1259"/>
      <c r="AF463" s="1259"/>
      <c r="AV463" s="1259"/>
      <c r="AW463" s="1259"/>
      <c r="AX463" s="1259"/>
      <c r="AY463" s="1259"/>
      <c r="AZ463" s="1259"/>
      <c r="BA463" s="1259"/>
      <c r="BC463" s="1259"/>
      <c r="BE463" s="1259"/>
      <c r="BF463" s="1259"/>
      <c r="BG463" s="1259"/>
    </row>
    <row r="464" spans="18:59" x14ac:dyDescent="0.25">
      <c r="R464" s="1259"/>
      <c r="S464" s="1259"/>
      <c r="W464" s="1259"/>
      <c r="X464" s="1259"/>
      <c r="AE464" s="1259"/>
      <c r="AF464" s="1259"/>
      <c r="AV464" s="1259"/>
      <c r="AW464" s="1259"/>
      <c r="AX464" s="1259"/>
      <c r="AY464" s="1259"/>
      <c r="AZ464" s="1259"/>
      <c r="BA464" s="1259"/>
      <c r="BC464" s="1259"/>
      <c r="BE464" s="1259"/>
      <c r="BF464" s="1259"/>
      <c r="BG464" s="1259"/>
    </row>
    <row r="465" spans="18:59" x14ac:dyDescent="0.25">
      <c r="R465" s="1259"/>
      <c r="S465" s="1259"/>
      <c r="W465" s="1259"/>
      <c r="X465" s="1259"/>
      <c r="AE465" s="1259"/>
      <c r="AF465" s="1259"/>
      <c r="AV465" s="1259"/>
      <c r="AW465" s="1259"/>
      <c r="AX465" s="1259"/>
      <c r="AY465" s="1259"/>
      <c r="AZ465" s="1259"/>
      <c r="BA465" s="1259"/>
      <c r="BC465" s="1259"/>
      <c r="BE465" s="1259"/>
      <c r="BF465" s="1259"/>
      <c r="BG465" s="1259"/>
    </row>
    <row r="466" spans="18:59" x14ac:dyDescent="0.25">
      <c r="R466" s="1259"/>
      <c r="S466" s="1259"/>
      <c r="W466" s="1259"/>
      <c r="X466" s="1259"/>
      <c r="AE466" s="1259"/>
      <c r="AF466" s="1259"/>
      <c r="AV466" s="1259"/>
      <c r="AW466" s="1259"/>
      <c r="AX466" s="1259"/>
      <c r="AY466" s="1259"/>
      <c r="AZ466" s="1259"/>
      <c r="BA466" s="1259"/>
      <c r="BC466" s="1259"/>
      <c r="BE466" s="1259"/>
      <c r="BF466" s="1259"/>
      <c r="BG466" s="1259"/>
    </row>
    <row r="467" spans="18:59" x14ac:dyDescent="0.25">
      <c r="R467" s="1259"/>
      <c r="S467" s="1259"/>
      <c r="W467" s="1259"/>
      <c r="X467" s="1259"/>
      <c r="AE467" s="1259"/>
      <c r="AF467" s="1259"/>
      <c r="AV467" s="1259"/>
      <c r="AW467" s="1259"/>
      <c r="AX467" s="1259"/>
      <c r="AY467" s="1259"/>
      <c r="AZ467" s="1259"/>
      <c r="BA467" s="1259"/>
      <c r="BC467" s="1259"/>
      <c r="BE467" s="1259"/>
      <c r="BF467" s="1259"/>
      <c r="BG467" s="1259"/>
    </row>
    <row r="468" spans="18:59" x14ac:dyDescent="0.25">
      <c r="R468" s="1259"/>
      <c r="S468" s="1259"/>
      <c r="W468" s="1259"/>
      <c r="X468" s="1259"/>
      <c r="AE468" s="1259"/>
      <c r="AF468" s="1259"/>
      <c r="AV468" s="1259"/>
      <c r="AW468" s="1259"/>
      <c r="AX468" s="1259"/>
      <c r="AY468" s="1259"/>
      <c r="AZ468" s="1259"/>
      <c r="BA468" s="1259"/>
      <c r="BC468" s="1259"/>
      <c r="BE468" s="1259"/>
      <c r="BF468" s="1259"/>
      <c r="BG468" s="1259"/>
    </row>
    <row r="469" spans="18:59" x14ac:dyDescent="0.25">
      <c r="R469" s="1259"/>
      <c r="S469" s="1259"/>
      <c r="W469" s="1259"/>
      <c r="X469" s="1259"/>
      <c r="AE469" s="1259"/>
      <c r="AF469" s="1259"/>
      <c r="AV469" s="1259"/>
      <c r="AW469" s="1259"/>
      <c r="AX469" s="1259"/>
      <c r="AY469" s="1259"/>
      <c r="AZ469" s="1259"/>
      <c r="BA469" s="1259"/>
      <c r="BC469" s="1259"/>
      <c r="BE469" s="1259"/>
      <c r="BF469" s="1259"/>
      <c r="BG469" s="1259"/>
    </row>
    <row r="470" spans="18:59" x14ac:dyDescent="0.25">
      <c r="R470" s="1259"/>
      <c r="S470" s="1259"/>
      <c r="W470" s="1259"/>
      <c r="X470" s="1259"/>
      <c r="AE470" s="1259"/>
      <c r="AF470" s="1259"/>
      <c r="AV470" s="1259"/>
      <c r="AW470" s="1259"/>
      <c r="AX470" s="1259"/>
      <c r="AY470" s="1259"/>
      <c r="AZ470" s="1259"/>
      <c r="BA470" s="1259"/>
      <c r="BC470" s="1259"/>
      <c r="BE470" s="1259"/>
      <c r="BF470" s="1259"/>
      <c r="BG470" s="1259"/>
    </row>
    <row r="471" spans="18:59" x14ac:dyDescent="0.25">
      <c r="R471" s="1259"/>
      <c r="S471" s="1259"/>
      <c r="W471" s="1259"/>
      <c r="X471" s="1259"/>
      <c r="AE471" s="1259"/>
      <c r="AF471" s="1259"/>
      <c r="AV471" s="1259"/>
      <c r="AW471" s="1259"/>
      <c r="AX471" s="1259"/>
      <c r="AY471" s="1259"/>
      <c r="AZ471" s="1259"/>
      <c r="BA471" s="1259"/>
      <c r="BC471" s="1259"/>
      <c r="BE471" s="1259"/>
      <c r="BF471" s="1259"/>
      <c r="BG471" s="1259"/>
    </row>
    <row r="472" spans="18:59" x14ac:dyDescent="0.25">
      <c r="R472" s="1259"/>
      <c r="S472" s="1259"/>
      <c r="W472" s="1259"/>
      <c r="X472" s="1259"/>
      <c r="AE472" s="1259"/>
      <c r="AF472" s="1259"/>
      <c r="AV472" s="1259"/>
      <c r="AW472" s="1259"/>
      <c r="AX472" s="1259"/>
      <c r="AY472" s="1259"/>
      <c r="AZ472" s="1259"/>
      <c r="BA472" s="1259"/>
      <c r="BC472" s="1259"/>
      <c r="BE472" s="1259"/>
      <c r="BF472" s="1259"/>
      <c r="BG472" s="1259"/>
    </row>
    <row r="473" spans="18:59" x14ac:dyDescent="0.25">
      <c r="R473" s="1259"/>
      <c r="S473" s="1259"/>
      <c r="W473" s="1259"/>
      <c r="X473" s="1259"/>
      <c r="AE473" s="1259"/>
      <c r="AF473" s="1259"/>
      <c r="AV473" s="1259"/>
      <c r="AW473" s="1259"/>
      <c r="AX473" s="1259"/>
      <c r="AY473" s="1259"/>
      <c r="AZ473" s="1259"/>
      <c r="BA473" s="1259"/>
      <c r="BC473" s="1259"/>
      <c r="BE473" s="1259"/>
      <c r="BF473" s="1259"/>
      <c r="BG473" s="1259"/>
    </row>
    <row r="474" spans="18:59" x14ac:dyDescent="0.25">
      <c r="R474" s="1259"/>
      <c r="S474" s="1259"/>
      <c r="W474" s="1259"/>
      <c r="X474" s="1259"/>
      <c r="AE474" s="1259"/>
      <c r="AF474" s="1259"/>
      <c r="AV474" s="1259"/>
      <c r="AW474" s="1259"/>
      <c r="AX474" s="1259"/>
      <c r="AY474" s="1259"/>
      <c r="AZ474" s="1259"/>
      <c r="BA474" s="1259"/>
      <c r="BC474" s="1259"/>
      <c r="BE474" s="1259"/>
      <c r="BF474" s="1259"/>
      <c r="BG474" s="1259"/>
    </row>
    <row r="475" spans="18:59" x14ac:dyDescent="0.25">
      <c r="R475" s="1259"/>
      <c r="S475" s="1259"/>
      <c r="W475" s="1259"/>
      <c r="X475" s="1259"/>
      <c r="AE475" s="1259"/>
      <c r="AF475" s="1259"/>
      <c r="AV475" s="1259"/>
      <c r="AW475" s="1259"/>
      <c r="AX475" s="1259"/>
      <c r="AY475" s="1259"/>
      <c r="AZ475" s="1259"/>
      <c r="BA475" s="1259"/>
      <c r="BC475" s="1259"/>
      <c r="BE475" s="1259"/>
      <c r="BF475" s="1259"/>
      <c r="BG475" s="1259"/>
    </row>
    <row r="476" spans="18:59" x14ac:dyDescent="0.25">
      <c r="R476" s="1259"/>
      <c r="S476" s="1259"/>
      <c r="W476" s="1259"/>
      <c r="X476" s="1259"/>
      <c r="AE476" s="1259"/>
      <c r="AF476" s="1259"/>
      <c r="AV476" s="1259"/>
      <c r="AW476" s="1259"/>
      <c r="AX476" s="1259"/>
      <c r="AY476" s="1259"/>
      <c r="AZ476" s="1259"/>
      <c r="BA476" s="1259"/>
      <c r="BC476" s="1259"/>
      <c r="BE476" s="1259"/>
      <c r="BF476" s="1259"/>
      <c r="BG476" s="1259"/>
    </row>
    <row r="477" spans="18:59" x14ac:dyDescent="0.25">
      <c r="R477" s="1259"/>
      <c r="S477" s="1259"/>
      <c r="W477" s="1259"/>
      <c r="X477" s="1259"/>
      <c r="AE477" s="1259"/>
      <c r="AF477" s="1259"/>
      <c r="AV477" s="1259"/>
      <c r="AW477" s="1259"/>
      <c r="AX477" s="1259"/>
      <c r="AY477" s="1259"/>
      <c r="AZ477" s="1259"/>
      <c r="BA477" s="1259"/>
      <c r="BC477" s="1259"/>
      <c r="BE477" s="1259"/>
      <c r="BF477" s="1259"/>
      <c r="BG477" s="1259"/>
    </row>
    <row r="478" spans="18:59" x14ac:dyDescent="0.25">
      <c r="R478" s="1259"/>
      <c r="S478" s="1259"/>
      <c r="W478" s="1259"/>
      <c r="X478" s="1259"/>
      <c r="AE478" s="1259"/>
      <c r="AF478" s="1259"/>
      <c r="AV478" s="1259"/>
      <c r="AW478" s="1259"/>
      <c r="AX478" s="1259"/>
      <c r="AY478" s="1259"/>
      <c r="AZ478" s="1259"/>
      <c r="BA478" s="1259"/>
      <c r="BC478" s="1259"/>
      <c r="BE478" s="1259"/>
      <c r="BF478" s="1259"/>
      <c r="BG478" s="1259"/>
    </row>
    <row r="479" spans="18:59" x14ac:dyDescent="0.25">
      <c r="R479" s="1259"/>
      <c r="S479" s="1259"/>
      <c r="W479" s="1259"/>
      <c r="X479" s="1259"/>
      <c r="AE479" s="1259"/>
      <c r="AF479" s="1259"/>
      <c r="AV479" s="1259"/>
      <c r="AW479" s="1259"/>
      <c r="AX479" s="1259"/>
      <c r="AY479" s="1259"/>
      <c r="AZ479" s="1259"/>
      <c r="BA479" s="1259"/>
      <c r="BC479" s="1259"/>
      <c r="BE479" s="1259"/>
      <c r="BF479" s="1259"/>
      <c r="BG479" s="1259"/>
    </row>
    <row r="480" spans="18:59" x14ac:dyDescent="0.25">
      <c r="R480" s="1259"/>
      <c r="S480" s="1259"/>
      <c r="W480" s="1259"/>
      <c r="X480" s="1259"/>
      <c r="AE480" s="1259"/>
      <c r="AF480" s="1259"/>
      <c r="AV480" s="1259"/>
      <c r="AW480" s="1259"/>
      <c r="AX480" s="1259"/>
      <c r="AY480" s="1259"/>
      <c r="AZ480" s="1259"/>
      <c r="BA480" s="1259"/>
      <c r="BC480" s="1259"/>
      <c r="BE480" s="1259"/>
      <c r="BF480" s="1259"/>
      <c r="BG480" s="1259"/>
    </row>
    <row r="481" spans="18:59" x14ac:dyDescent="0.25">
      <c r="R481" s="1259"/>
      <c r="S481" s="1259"/>
      <c r="W481" s="1259"/>
      <c r="X481" s="1259"/>
      <c r="AE481" s="1259"/>
      <c r="AF481" s="1259"/>
      <c r="AV481" s="1259"/>
      <c r="AW481" s="1259"/>
      <c r="AX481" s="1259"/>
      <c r="AY481" s="1259"/>
      <c r="AZ481" s="1259"/>
      <c r="BA481" s="1259"/>
      <c r="BC481" s="1259"/>
      <c r="BE481" s="1259"/>
      <c r="BF481" s="1259"/>
      <c r="BG481" s="1259"/>
    </row>
    <row r="482" spans="18:59" x14ac:dyDescent="0.25">
      <c r="R482" s="1259"/>
      <c r="S482" s="1259"/>
      <c r="W482" s="1259"/>
      <c r="X482" s="1259"/>
      <c r="AE482" s="1259"/>
      <c r="AF482" s="1259"/>
      <c r="AV482" s="1259"/>
      <c r="AW482" s="1259"/>
      <c r="AX482" s="1259"/>
      <c r="AY482" s="1259"/>
      <c r="AZ482" s="1259"/>
      <c r="BA482" s="1259"/>
      <c r="BC482" s="1259"/>
      <c r="BE482" s="1259"/>
      <c r="BF482" s="1259"/>
      <c r="BG482" s="1259"/>
    </row>
    <row r="483" spans="18:59" x14ac:dyDescent="0.25">
      <c r="R483" s="1259"/>
      <c r="S483" s="1259"/>
      <c r="W483" s="1259"/>
      <c r="X483" s="1259"/>
      <c r="AE483" s="1259"/>
      <c r="AF483" s="1259"/>
      <c r="AV483" s="1259"/>
      <c r="AW483" s="1259"/>
      <c r="AX483" s="1259"/>
      <c r="AY483" s="1259"/>
      <c r="AZ483" s="1259"/>
      <c r="BA483" s="1259"/>
      <c r="BC483" s="1259"/>
      <c r="BE483" s="1259"/>
      <c r="BF483" s="1259"/>
      <c r="BG483" s="1259"/>
    </row>
    <row r="484" spans="18:59" x14ac:dyDescent="0.25">
      <c r="R484" s="1259"/>
      <c r="S484" s="1259"/>
      <c r="W484" s="1259"/>
      <c r="X484" s="1259"/>
      <c r="AE484" s="1259"/>
      <c r="AF484" s="1259"/>
      <c r="AV484" s="1259"/>
      <c r="AW484" s="1259"/>
      <c r="AX484" s="1259"/>
      <c r="AY484" s="1259"/>
      <c r="AZ484" s="1259"/>
      <c r="BA484" s="1259"/>
      <c r="BC484" s="1259"/>
      <c r="BE484" s="1259"/>
      <c r="BF484" s="1259"/>
      <c r="BG484" s="1259"/>
    </row>
    <row r="485" spans="18:59" x14ac:dyDescent="0.25">
      <c r="R485" s="1259"/>
      <c r="S485" s="1259"/>
      <c r="W485" s="1259"/>
      <c r="X485" s="1259"/>
      <c r="AE485" s="1259"/>
      <c r="AF485" s="1259"/>
      <c r="AV485" s="1259"/>
      <c r="AW485" s="1259"/>
      <c r="AX485" s="1259"/>
      <c r="AY485" s="1259"/>
      <c r="AZ485" s="1259"/>
      <c r="BA485" s="1259"/>
      <c r="BC485" s="1259"/>
      <c r="BE485" s="1259"/>
      <c r="BF485" s="1259"/>
      <c r="BG485" s="1259"/>
    </row>
    <row r="486" spans="18:59" x14ac:dyDescent="0.25">
      <c r="R486" s="1259"/>
      <c r="S486" s="1259"/>
      <c r="W486" s="1259"/>
      <c r="X486" s="1259"/>
      <c r="AE486" s="1259"/>
      <c r="AF486" s="1259"/>
      <c r="AV486" s="1259"/>
      <c r="AW486" s="1259"/>
      <c r="AX486" s="1259"/>
      <c r="AY486" s="1259"/>
      <c r="AZ486" s="1259"/>
      <c r="BA486" s="1259"/>
      <c r="BC486" s="1259"/>
      <c r="BE486" s="1259"/>
      <c r="BF486" s="1259"/>
      <c r="BG486" s="1259"/>
    </row>
    <row r="487" spans="18:59" x14ac:dyDescent="0.25">
      <c r="R487" s="1259"/>
      <c r="S487" s="1259"/>
      <c r="W487" s="1259"/>
      <c r="X487" s="1259"/>
      <c r="AE487" s="1259"/>
      <c r="AF487" s="1259"/>
      <c r="AV487" s="1259"/>
      <c r="AW487" s="1259"/>
      <c r="AX487" s="1259"/>
      <c r="AY487" s="1259"/>
      <c r="AZ487" s="1259"/>
      <c r="BA487" s="1259"/>
      <c r="BC487" s="1259"/>
      <c r="BE487" s="1259"/>
      <c r="BF487" s="1259"/>
      <c r="BG487" s="1259"/>
    </row>
    <row r="488" spans="18:59" x14ac:dyDescent="0.25">
      <c r="R488" s="1259"/>
      <c r="S488" s="1259"/>
      <c r="W488" s="1259"/>
      <c r="X488" s="1259"/>
      <c r="AE488" s="1259"/>
      <c r="AF488" s="1259"/>
      <c r="AV488" s="1259"/>
      <c r="AW488" s="1259"/>
      <c r="AX488" s="1259"/>
      <c r="AY488" s="1259"/>
      <c r="AZ488" s="1259"/>
      <c r="BA488" s="1259"/>
      <c r="BC488" s="1259"/>
      <c r="BE488" s="1259"/>
      <c r="BF488" s="1259"/>
      <c r="BG488" s="1259"/>
    </row>
    <row r="489" spans="18:59" x14ac:dyDescent="0.25">
      <c r="R489" s="1259"/>
      <c r="S489" s="1259"/>
      <c r="W489" s="1259"/>
      <c r="X489" s="1259"/>
      <c r="AE489" s="1259"/>
      <c r="AF489" s="1259"/>
      <c r="AV489" s="1259"/>
      <c r="AW489" s="1259"/>
      <c r="AX489" s="1259"/>
      <c r="AY489" s="1259"/>
      <c r="AZ489" s="1259"/>
      <c r="BA489" s="1259"/>
      <c r="BC489" s="1259"/>
      <c r="BE489" s="1259"/>
      <c r="BF489" s="1259"/>
      <c r="BG489" s="1259"/>
    </row>
    <row r="490" spans="18:59" x14ac:dyDescent="0.25">
      <c r="R490" s="1259"/>
      <c r="S490" s="1259"/>
      <c r="W490" s="1259"/>
      <c r="X490" s="1259"/>
      <c r="AE490" s="1259"/>
      <c r="AF490" s="1259"/>
      <c r="AV490" s="1259"/>
      <c r="AW490" s="1259"/>
      <c r="AX490" s="1259"/>
      <c r="AY490" s="1259"/>
      <c r="AZ490" s="1259"/>
      <c r="BA490" s="1259"/>
      <c r="BC490" s="1259"/>
      <c r="BE490" s="1259"/>
      <c r="BF490" s="1259"/>
      <c r="BG490" s="1259"/>
    </row>
    <row r="491" spans="18:59" x14ac:dyDescent="0.25">
      <c r="R491" s="1259"/>
      <c r="S491" s="1259"/>
      <c r="W491" s="1259"/>
      <c r="X491" s="1259"/>
      <c r="AE491" s="1259"/>
      <c r="AF491" s="1259"/>
      <c r="AV491" s="1259"/>
      <c r="AW491" s="1259"/>
      <c r="AX491" s="1259"/>
      <c r="AY491" s="1259"/>
      <c r="AZ491" s="1259"/>
      <c r="BA491" s="1259"/>
      <c r="BC491" s="1259"/>
      <c r="BE491" s="1259"/>
      <c r="BF491" s="1259"/>
      <c r="BG491" s="1259"/>
    </row>
    <row r="492" spans="18:59" x14ac:dyDescent="0.25">
      <c r="R492" s="1259"/>
      <c r="S492" s="1259"/>
      <c r="W492" s="1259"/>
      <c r="X492" s="1259"/>
      <c r="AE492" s="1259"/>
      <c r="AF492" s="1259"/>
      <c r="AV492" s="1259"/>
      <c r="AW492" s="1259"/>
      <c r="AX492" s="1259"/>
      <c r="AY492" s="1259"/>
      <c r="AZ492" s="1259"/>
      <c r="BA492" s="1259"/>
      <c r="BC492" s="1259"/>
      <c r="BE492" s="1259"/>
      <c r="BF492" s="1259"/>
      <c r="BG492" s="1259"/>
    </row>
    <row r="493" spans="18:59" x14ac:dyDescent="0.25">
      <c r="R493" s="1259"/>
      <c r="S493" s="1259"/>
      <c r="W493" s="1259"/>
      <c r="X493" s="1259"/>
      <c r="AE493" s="1259"/>
      <c r="AF493" s="1259"/>
      <c r="AV493" s="1259"/>
      <c r="AW493" s="1259"/>
      <c r="AX493" s="1259"/>
      <c r="AY493" s="1259"/>
      <c r="AZ493" s="1259"/>
      <c r="BA493" s="1259"/>
      <c r="BC493" s="1259"/>
      <c r="BE493" s="1259"/>
      <c r="BF493" s="1259"/>
      <c r="BG493" s="1259"/>
    </row>
    <row r="494" spans="18:59" x14ac:dyDescent="0.25">
      <c r="R494" s="1259"/>
      <c r="S494" s="1259"/>
      <c r="W494" s="1259"/>
      <c r="X494" s="1259"/>
      <c r="AE494" s="1259"/>
      <c r="AF494" s="1259"/>
      <c r="AV494" s="1259"/>
      <c r="AW494" s="1259"/>
      <c r="AX494" s="1259"/>
      <c r="AY494" s="1259"/>
      <c r="AZ494" s="1259"/>
      <c r="BA494" s="1259"/>
      <c r="BC494" s="1259"/>
      <c r="BE494" s="1259"/>
      <c r="BF494" s="1259"/>
      <c r="BG494" s="1259"/>
    </row>
    <row r="495" spans="18:59" x14ac:dyDescent="0.25">
      <c r="R495" s="1259"/>
      <c r="S495" s="1259"/>
      <c r="W495" s="1259"/>
      <c r="X495" s="1259"/>
      <c r="AE495" s="1259"/>
      <c r="AF495" s="1259"/>
      <c r="AV495" s="1259"/>
      <c r="AW495" s="1259"/>
      <c r="AX495" s="1259"/>
      <c r="AY495" s="1259"/>
      <c r="AZ495" s="1259"/>
      <c r="BA495" s="1259"/>
      <c r="BC495" s="1259"/>
      <c r="BE495" s="1259"/>
      <c r="BF495" s="1259"/>
      <c r="BG495" s="1259"/>
    </row>
    <row r="496" spans="18:59" x14ac:dyDescent="0.25">
      <c r="R496" s="1259"/>
      <c r="S496" s="1259"/>
      <c r="W496" s="1259"/>
      <c r="X496" s="1259"/>
      <c r="AE496" s="1259"/>
      <c r="AF496" s="1259"/>
      <c r="AV496" s="1259"/>
      <c r="AW496" s="1259"/>
      <c r="AX496" s="1259"/>
      <c r="AY496" s="1259"/>
      <c r="AZ496" s="1259"/>
      <c r="BA496" s="1259"/>
      <c r="BC496" s="1259"/>
      <c r="BE496" s="1259"/>
      <c r="BF496" s="1259"/>
      <c r="BG496" s="1259"/>
    </row>
    <row r="497" spans="18:59" x14ac:dyDescent="0.25">
      <c r="R497" s="1259"/>
      <c r="S497" s="1259"/>
      <c r="W497" s="1259"/>
      <c r="X497" s="1259"/>
      <c r="AE497" s="1259"/>
      <c r="AF497" s="1259"/>
      <c r="AV497" s="1259"/>
      <c r="AW497" s="1259"/>
      <c r="AX497" s="1259"/>
      <c r="AY497" s="1259"/>
      <c r="AZ497" s="1259"/>
      <c r="BA497" s="1259"/>
      <c r="BC497" s="1259"/>
      <c r="BE497" s="1259"/>
      <c r="BF497" s="1259"/>
      <c r="BG497" s="1259"/>
    </row>
    <row r="498" spans="18:59" x14ac:dyDescent="0.25">
      <c r="R498" s="1259"/>
      <c r="S498" s="1259"/>
      <c r="W498" s="1259"/>
      <c r="X498" s="1259"/>
      <c r="AE498" s="1259"/>
      <c r="AF498" s="1259"/>
      <c r="AV498" s="1259"/>
      <c r="AW498" s="1259"/>
      <c r="AX498" s="1259"/>
      <c r="AY498" s="1259"/>
      <c r="AZ498" s="1259"/>
      <c r="BA498" s="1259"/>
      <c r="BC498" s="1259"/>
      <c r="BE498" s="1259"/>
      <c r="BF498" s="1259"/>
      <c r="BG498" s="1259"/>
    </row>
    <row r="499" spans="18:59" x14ac:dyDescent="0.25">
      <c r="R499" s="1259"/>
      <c r="S499" s="1259"/>
      <c r="W499" s="1259"/>
      <c r="X499" s="1259"/>
      <c r="AE499" s="1259"/>
      <c r="AF499" s="1259"/>
      <c r="AV499" s="1259"/>
      <c r="AW499" s="1259"/>
      <c r="AX499" s="1259"/>
      <c r="AY499" s="1259"/>
      <c r="AZ499" s="1259"/>
      <c r="BA499" s="1259"/>
      <c r="BC499" s="1259"/>
      <c r="BE499" s="1259"/>
      <c r="BF499" s="1259"/>
      <c r="BG499" s="1259"/>
    </row>
    <row r="500" spans="18:59" x14ac:dyDescent="0.25">
      <c r="R500" s="1259"/>
      <c r="S500" s="1259"/>
      <c r="W500" s="1259"/>
      <c r="X500" s="1259"/>
      <c r="AE500" s="1259"/>
      <c r="AF500" s="1259"/>
      <c r="AV500" s="1259"/>
      <c r="AW500" s="1259"/>
      <c r="AX500" s="1259"/>
      <c r="AY500" s="1259"/>
      <c r="AZ500" s="1259"/>
      <c r="BA500" s="1259"/>
      <c r="BC500" s="1259"/>
      <c r="BE500" s="1259"/>
      <c r="BF500" s="1259"/>
      <c r="BG500" s="1259"/>
    </row>
    <row r="501" spans="18:59" x14ac:dyDescent="0.25">
      <c r="R501" s="1259"/>
      <c r="S501" s="1259"/>
      <c r="W501" s="1259"/>
      <c r="X501" s="1259"/>
      <c r="AE501" s="1259"/>
      <c r="AF501" s="1259"/>
      <c r="AV501" s="1259"/>
      <c r="AW501" s="1259"/>
      <c r="AX501" s="1259"/>
      <c r="AY501" s="1259"/>
      <c r="AZ501" s="1259"/>
      <c r="BA501" s="1259"/>
      <c r="BC501" s="1259"/>
      <c r="BE501" s="1259"/>
      <c r="BF501" s="1259"/>
      <c r="BG501" s="1259"/>
    </row>
    <row r="502" spans="18:59" x14ac:dyDescent="0.25">
      <c r="R502" s="1259"/>
      <c r="S502" s="1259"/>
      <c r="W502" s="1259"/>
      <c r="X502" s="1259"/>
      <c r="AE502" s="1259"/>
      <c r="AF502" s="1259"/>
      <c r="AV502" s="1259"/>
      <c r="AW502" s="1259"/>
      <c r="AX502" s="1259"/>
      <c r="AY502" s="1259"/>
      <c r="AZ502" s="1259"/>
      <c r="BA502" s="1259"/>
      <c r="BC502" s="1259"/>
      <c r="BE502" s="1259"/>
      <c r="BF502" s="1259"/>
      <c r="BG502" s="125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D8" sqref="D8"/>
    </sheetView>
  </sheetViews>
  <sheetFormatPr defaultColWidth="10.85546875" defaultRowHeight="15" x14ac:dyDescent="0.25"/>
  <cols>
    <col min="1" max="1" width="23.140625" customWidth="1"/>
  </cols>
  <sheetData>
    <row r="1" spans="1:22" x14ac:dyDescent="0.25">
      <c r="A1" s="1263" t="s">
        <v>729</v>
      </c>
      <c r="B1" s="1263"/>
      <c r="C1" s="1263"/>
      <c r="D1" s="1263"/>
    </row>
    <row r="2" spans="1:22" x14ac:dyDescent="0.25">
      <c r="A2" t="s">
        <v>730</v>
      </c>
      <c r="B2" s="634">
        <v>2021</v>
      </c>
      <c r="C2" s="634">
        <v>2021</v>
      </c>
      <c r="D2" s="634">
        <v>2021</v>
      </c>
      <c r="E2" s="634">
        <v>2022</v>
      </c>
      <c r="F2" s="634">
        <v>2022</v>
      </c>
      <c r="G2" s="634">
        <v>2022</v>
      </c>
      <c r="H2" s="634">
        <v>2022</v>
      </c>
      <c r="I2" s="634">
        <v>2023</v>
      </c>
      <c r="J2" s="634">
        <v>2023</v>
      </c>
      <c r="K2" s="634">
        <v>2023</v>
      </c>
      <c r="L2" s="634">
        <v>2023</v>
      </c>
      <c r="M2" s="634">
        <v>2024</v>
      </c>
      <c r="N2" s="634">
        <v>2024</v>
      </c>
      <c r="O2" s="634">
        <v>2024</v>
      </c>
      <c r="P2" s="634">
        <v>2024</v>
      </c>
      <c r="Q2" s="634">
        <v>2025</v>
      </c>
      <c r="R2" s="634">
        <v>2025</v>
      </c>
      <c r="S2" s="634">
        <v>2025</v>
      </c>
      <c r="T2" s="634">
        <v>2025</v>
      </c>
      <c r="U2" s="634">
        <v>2026</v>
      </c>
    </row>
    <row r="3" spans="1:22" x14ac:dyDescent="0.25">
      <c r="A3" s="993" t="s">
        <v>731</v>
      </c>
      <c r="B3" s="1264" t="s">
        <v>732</v>
      </c>
      <c r="C3" s="1264" t="s">
        <v>733</v>
      </c>
      <c r="D3" s="1264" t="s">
        <v>734</v>
      </c>
      <c r="E3" s="1264" t="s">
        <v>735</v>
      </c>
      <c r="F3" s="1264" t="s">
        <v>736</v>
      </c>
      <c r="G3" s="1264" t="s">
        <v>737</v>
      </c>
      <c r="H3" s="1264" t="s">
        <v>738</v>
      </c>
      <c r="I3" s="1264" t="s">
        <v>739</v>
      </c>
      <c r="J3" s="1264" t="s">
        <v>740</v>
      </c>
      <c r="K3" s="1264" t="s">
        <v>741</v>
      </c>
      <c r="L3" s="1264" t="s">
        <v>742</v>
      </c>
      <c r="M3" s="1264" t="s">
        <v>743</v>
      </c>
      <c r="N3" s="1264" t="s">
        <v>744</v>
      </c>
      <c r="O3" s="1264" t="s">
        <v>745</v>
      </c>
      <c r="P3" s="1264" t="s">
        <v>746</v>
      </c>
      <c r="Q3" s="1264" t="s">
        <v>747</v>
      </c>
      <c r="R3" s="1264" t="s">
        <v>748</v>
      </c>
      <c r="S3" s="1264" t="s">
        <v>749</v>
      </c>
      <c r="T3" s="1264" t="s">
        <v>750</v>
      </c>
      <c r="U3" s="1264" t="s">
        <v>751</v>
      </c>
    </row>
    <row r="4" spans="1:22" x14ac:dyDescent="0.25">
      <c r="A4" s="993" t="s">
        <v>752</v>
      </c>
      <c r="B4" s="1264"/>
      <c r="C4" s="1264"/>
      <c r="D4" s="1264">
        <v>0</v>
      </c>
      <c r="E4" s="1264">
        <v>0</v>
      </c>
      <c r="F4" s="1264">
        <v>0.5</v>
      </c>
      <c r="G4" s="1264">
        <v>0.5</v>
      </c>
      <c r="H4" s="1264">
        <v>0</v>
      </c>
      <c r="I4" s="1264">
        <v>0</v>
      </c>
      <c r="J4" s="1264">
        <v>0</v>
      </c>
      <c r="K4" s="1264">
        <v>0</v>
      </c>
      <c r="L4" s="1264">
        <v>0</v>
      </c>
      <c r="M4" s="1264">
        <v>0</v>
      </c>
      <c r="N4" s="1264">
        <v>0</v>
      </c>
      <c r="O4" s="1264">
        <v>0</v>
      </c>
      <c r="P4" s="1264">
        <v>0</v>
      </c>
      <c r="Q4" s="1264">
        <v>0</v>
      </c>
      <c r="R4" s="1264">
        <v>0</v>
      </c>
      <c r="S4" s="1264">
        <v>0</v>
      </c>
      <c r="T4" s="1264">
        <v>0</v>
      </c>
      <c r="U4" s="1264">
        <v>0</v>
      </c>
    </row>
    <row r="5" spans="1:22" x14ac:dyDescent="0.25">
      <c r="A5" s="993" t="s">
        <v>753</v>
      </c>
      <c r="B5" s="1264">
        <v>0.04</v>
      </c>
      <c r="C5" s="1264">
        <v>0.48</v>
      </c>
      <c r="D5" s="1264">
        <v>0.48</v>
      </c>
      <c r="E5" s="1264">
        <v>0</v>
      </c>
      <c r="F5" s="1264">
        <v>0</v>
      </c>
      <c r="G5" s="1264">
        <v>0</v>
      </c>
      <c r="H5" s="1264">
        <v>0</v>
      </c>
      <c r="I5" s="1264">
        <v>0</v>
      </c>
      <c r="J5" s="1264">
        <v>0</v>
      </c>
      <c r="K5" s="1264">
        <v>0</v>
      </c>
      <c r="L5" s="1264">
        <v>0</v>
      </c>
      <c r="M5" s="1264">
        <v>0</v>
      </c>
      <c r="N5" s="1264">
        <v>0</v>
      </c>
      <c r="O5" s="1264">
        <v>0</v>
      </c>
      <c r="P5" s="1264">
        <v>0</v>
      </c>
      <c r="Q5" s="1264">
        <v>0</v>
      </c>
      <c r="R5" s="1264">
        <v>0</v>
      </c>
      <c r="S5" s="1264">
        <v>0</v>
      </c>
      <c r="T5" s="1264">
        <v>0</v>
      </c>
      <c r="U5" s="1264">
        <v>0</v>
      </c>
    </row>
    <row r="6" spans="1:22" x14ac:dyDescent="0.25">
      <c r="A6" s="993" t="s">
        <v>754</v>
      </c>
      <c r="B6" s="1264">
        <f>B8</f>
        <v>0</v>
      </c>
      <c r="C6" s="1264">
        <f>C8</f>
        <v>0.43</v>
      </c>
      <c r="D6" s="1264">
        <f t="shared" ref="D6:U6" si="0">D8</f>
        <v>0.56999999999999995</v>
      </c>
      <c r="E6" s="1264">
        <f t="shared" si="0"/>
        <v>0.25</v>
      </c>
      <c r="F6" s="1264">
        <f t="shared" si="0"/>
        <v>0.25</v>
      </c>
      <c r="G6" s="1264">
        <f t="shared" si="0"/>
        <v>0.25</v>
      </c>
      <c r="H6" s="1264">
        <f t="shared" si="0"/>
        <v>0.25</v>
      </c>
      <c r="I6" s="1264">
        <f t="shared" si="0"/>
        <v>0.25</v>
      </c>
      <c r="J6" s="1264">
        <f t="shared" si="0"/>
        <v>0.25</v>
      </c>
      <c r="K6" s="1264">
        <f t="shared" si="0"/>
        <v>0.25</v>
      </c>
      <c r="L6" s="1264">
        <f t="shared" si="0"/>
        <v>0.25</v>
      </c>
      <c r="M6" s="1264">
        <f t="shared" si="0"/>
        <v>0.25</v>
      </c>
      <c r="N6" s="1264">
        <f t="shared" si="0"/>
        <v>0.25</v>
      </c>
      <c r="O6" s="1264">
        <f t="shared" si="0"/>
        <v>0.25</v>
      </c>
      <c r="P6" s="1264">
        <f t="shared" si="0"/>
        <v>0.25</v>
      </c>
      <c r="Q6" s="1264">
        <f t="shared" si="0"/>
        <v>0.25</v>
      </c>
      <c r="R6" s="1264">
        <f t="shared" si="0"/>
        <v>0.25</v>
      </c>
      <c r="S6" s="1264">
        <f t="shared" si="0"/>
        <v>0.25</v>
      </c>
      <c r="T6" s="1264">
        <f t="shared" si="0"/>
        <v>0.25</v>
      </c>
      <c r="U6" s="1264">
        <f t="shared" si="0"/>
        <v>0.25</v>
      </c>
    </row>
    <row r="7" spans="1:22" x14ac:dyDescent="0.25">
      <c r="A7" s="993" t="s">
        <v>755</v>
      </c>
      <c r="B7" s="1264">
        <v>0</v>
      </c>
      <c r="C7" s="1264">
        <v>0</v>
      </c>
      <c r="D7" s="1264">
        <v>1</v>
      </c>
      <c r="E7" s="1264">
        <v>0.25</v>
      </c>
      <c r="F7" s="1264">
        <v>0.25</v>
      </c>
      <c r="G7" s="1264">
        <v>0.25</v>
      </c>
      <c r="H7" s="1264">
        <v>0.25</v>
      </c>
      <c r="I7" s="1264">
        <v>0.25</v>
      </c>
      <c r="J7" s="1264">
        <v>0.25</v>
      </c>
      <c r="K7" s="1264">
        <v>0.25</v>
      </c>
      <c r="L7" s="1264">
        <v>0.25</v>
      </c>
      <c r="M7" s="1264">
        <v>0.25</v>
      </c>
      <c r="N7" s="1264">
        <v>0.25</v>
      </c>
      <c r="O7" s="1264">
        <v>0.25</v>
      </c>
      <c r="P7" s="1264">
        <v>0.25</v>
      </c>
      <c r="Q7" s="1264">
        <v>0.25</v>
      </c>
      <c r="R7" s="1264">
        <v>0.25</v>
      </c>
      <c r="S7" s="1264">
        <v>0.25</v>
      </c>
      <c r="T7" s="1264">
        <v>0.25</v>
      </c>
      <c r="U7" s="1264">
        <v>0.25</v>
      </c>
    </row>
    <row r="8" spans="1:22" x14ac:dyDescent="0.25">
      <c r="A8" s="993" t="s">
        <v>756</v>
      </c>
      <c r="B8" s="1264">
        <v>0</v>
      </c>
      <c r="C8" s="1264">
        <v>0.43</v>
      </c>
      <c r="D8" s="1264">
        <v>0.56999999999999995</v>
      </c>
      <c r="E8" s="1264">
        <v>0.25</v>
      </c>
      <c r="F8" s="1264">
        <v>0.25</v>
      </c>
      <c r="G8" s="1264">
        <v>0.25</v>
      </c>
      <c r="H8" s="1264">
        <v>0.25</v>
      </c>
      <c r="I8" s="1264">
        <v>0.25</v>
      </c>
      <c r="J8" s="1264">
        <v>0.25</v>
      </c>
      <c r="K8" s="1264">
        <v>0.25</v>
      </c>
      <c r="L8" s="1264">
        <v>0.25</v>
      </c>
      <c r="M8" s="1264">
        <v>0.25</v>
      </c>
      <c r="N8" s="1264">
        <v>0.25</v>
      </c>
      <c r="O8" s="1264">
        <v>0.25</v>
      </c>
      <c r="P8" s="1264">
        <v>0.25</v>
      </c>
      <c r="Q8" s="1264">
        <v>0.25</v>
      </c>
      <c r="R8" s="1264">
        <v>0.25</v>
      </c>
      <c r="S8" s="1264">
        <v>0.25</v>
      </c>
      <c r="T8" s="1264">
        <v>0.25</v>
      </c>
      <c r="U8" s="1264">
        <v>0.25</v>
      </c>
    </row>
    <row r="9" spans="1:22" ht="27" customHeight="1" x14ac:dyDescent="0.25">
      <c r="A9" s="993" t="s">
        <v>757</v>
      </c>
      <c r="B9" s="1264">
        <v>0</v>
      </c>
      <c r="C9" s="1264">
        <f>0.18</f>
        <v>0.18</v>
      </c>
      <c r="D9" s="1264">
        <f>1-C9</f>
        <v>0.82000000000000006</v>
      </c>
      <c r="E9" s="1264">
        <v>0.25</v>
      </c>
      <c r="F9" s="1264">
        <v>0.25</v>
      </c>
      <c r="G9" s="1264">
        <v>0.25</v>
      </c>
      <c r="H9" s="1264">
        <v>0.25</v>
      </c>
      <c r="I9" s="1264">
        <v>0.25</v>
      </c>
      <c r="J9" s="1264">
        <v>0.25</v>
      </c>
      <c r="K9" s="1264">
        <v>0.25</v>
      </c>
      <c r="L9" s="1264">
        <v>0.25</v>
      </c>
      <c r="M9" s="1264">
        <v>0.25</v>
      </c>
      <c r="N9" s="1264">
        <v>0.25</v>
      </c>
      <c r="O9" s="1264">
        <v>0.25</v>
      </c>
      <c r="P9" s="1264">
        <v>0.25</v>
      </c>
      <c r="Q9" s="1264">
        <v>0.25</v>
      </c>
      <c r="R9" s="1264">
        <v>0.25</v>
      </c>
      <c r="S9" s="1264">
        <v>0.25</v>
      </c>
      <c r="T9" s="1264">
        <v>0.25</v>
      </c>
      <c r="U9" s="1264">
        <v>0.25</v>
      </c>
    </row>
    <row r="10" spans="1:22" x14ac:dyDescent="0.25">
      <c r="A10" s="993" t="s">
        <v>758</v>
      </c>
      <c r="B10" s="1264">
        <v>0</v>
      </c>
      <c r="C10" s="1264">
        <v>0.5</v>
      </c>
      <c r="D10" s="1264">
        <v>0.5</v>
      </c>
      <c r="E10" s="1264">
        <v>0.25</v>
      </c>
      <c r="F10" s="1264">
        <v>0.25</v>
      </c>
      <c r="G10" s="1264">
        <v>0.25</v>
      </c>
      <c r="H10" s="1264">
        <v>0.25</v>
      </c>
      <c r="I10" s="1264">
        <v>0.25</v>
      </c>
      <c r="J10" s="1264">
        <v>0.25</v>
      </c>
      <c r="K10" s="1264">
        <v>0.25</v>
      </c>
      <c r="L10" s="1264">
        <v>0.25</v>
      </c>
      <c r="M10" s="1264">
        <v>0.25</v>
      </c>
      <c r="N10" s="1264">
        <v>0.25</v>
      </c>
      <c r="O10" s="1264">
        <v>0.25</v>
      </c>
      <c r="P10" s="1264">
        <v>0.25</v>
      </c>
      <c r="Q10" s="1264">
        <v>0.25</v>
      </c>
      <c r="R10" s="1264">
        <v>0.25</v>
      </c>
      <c r="S10" s="1264">
        <v>0.25</v>
      </c>
      <c r="T10" s="1264">
        <v>0.25</v>
      </c>
      <c r="U10" s="1264">
        <v>0.25</v>
      </c>
    </row>
    <row r="11" spans="1:22" x14ac:dyDescent="0.25">
      <c r="A11" s="993" t="s">
        <v>759</v>
      </c>
      <c r="B11" s="1264">
        <v>0</v>
      </c>
      <c r="C11" s="1264">
        <v>0.5</v>
      </c>
      <c r="D11" s="1264">
        <v>0.5</v>
      </c>
      <c r="E11" s="1264">
        <v>0.25</v>
      </c>
      <c r="F11" s="1264">
        <v>0.25</v>
      </c>
      <c r="G11" s="1264">
        <v>0.25</v>
      </c>
      <c r="H11" s="1264">
        <v>0.25</v>
      </c>
      <c r="I11" s="1264">
        <v>0.25</v>
      </c>
      <c r="J11" s="1264">
        <v>0.25</v>
      </c>
      <c r="K11" s="1264">
        <v>0.25</v>
      </c>
      <c r="L11" s="1264">
        <v>0.25</v>
      </c>
      <c r="M11" s="1264">
        <v>0.25</v>
      </c>
      <c r="N11" s="1264">
        <v>0.25</v>
      </c>
      <c r="O11" s="1264">
        <v>0.25</v>
      </c>
      <c r="P11" s="1264">
        <v>0.25</v>
      </c>
      <c r="Q11" s="1264">
        <v>0.25</v>
      </c>
      <c r="R11" s="1264">
        <v>0.25</v>
      </c>
      <c r="S11" s="1264">
        <v>0.25</v>
      </c>
      <c r="T11" s="1264">
        <v>0.25</v>
      </c>
      <c r="U11" s="1264">
        <v>0.25</v>
      </c>
    </row>
    <row r="12" spans="1:22" ht="14.25" customHeight="1" x14ac:dyDescent="0.25">
      <c r="A12" s="993" t="s">
        <v>760</v>
      </c>
      <c r="B12" s="1264">
        <v>1</v>
      </c>
      <c r="C12" s="1264"/>
      <c r="D12" s="1264"/>
      <c r="E12" s="1264"/>
      <c r="F12" s="1264"/>
      <c r="G12" s="1264"/>
      <c r="H12" s="1264"/>
      <c r="I12" s="1264"/>
      <c r="J12" s="1264"/>
      <c r="K12" s="1264"/>
      <c r="L12" s="1264"/>
      <c r="M12" s="1264"/>
      <c r="N12" s="1264"/>
      <c r="O12" s="1264"/>
      <c r="P12" s="1264"/>
      <c r="Q12" s="1264"/>
      <c r="R12" s="1264"/>
      <c r="S12" s="1264"/>
      <c r="T12" s="1264"/>
      <c r="U12" s="1264"/>
    </row>
    <row r="13" spans="1:22" x14ac:dyDescent="0.25">
      <c r="A13" s="993" t="s">
        <v>761</v>
      </c>
      <c r="B13" s="1264">
        <v>0</v>
      </c>
      <c r="C13" s="1264">
        <v>0.4</v>
      </c>
      <c r="D13" s="1264">
        <v>0.6</v>
      </c>
      <c r="E13" s="1264">
        <v>0.4</v>
      </c>
      <c r="F13" s="1264">
        <v>0.3</v>
      </c>
      <c r="G13" s="1264">
        <v>0.2</v>
      </c>
      <c r="H13" s="1264">
        <v>0.1</v>
      </c>
      <c r="I13" s="1264">
        <v>0.25</v>
      </c>
      <c r="J13" s="1264">
        <v>0.25</v>
      </c>
      <c r="K13" s="1264">
        <v>0.25</v>
      </c>
      <c r="L13" s="1264">
        <v>0.25</v>
      </c>
      <c r="M13" s="1264">
        <v>0.25</v>
      </c>
      <c r="N13" s="1264">
        <v>0.25</v>
      </c>
      <c r="O13" s="1264">
        <v>0.25</v>
      </c>
      <c r="P13" s="1264">
        <v>0.25</v>
      </c>
      <c r="Q13" s="1264">
        <v>0.25</v>
      </c>
      <c r="R13" s="1264">
        <v>0.25</v>
      </c>
      <c r="S13" s="1264">
        <v>0.25</v>
      </c>
      <c r="T13" s="1264">
        <v>0.25</v>
      </c>
      <c r="U13" s="1264">
        <v>0.25</v>
      </c>
    </row>
    <row r="14" spans="1:22" x14ac:dyDescent="0.25">
      <c r="A14" s="993"/>
      <c r="B14" s="1264"/>
      <c r="C14" s="1264"/>
      <c r="D14" s="1264"/>
      <c r="E14" s="1264"/>
      <c r="F14" s="1264"/>
      <c r="G14" s="1264"/>
      <c r="H14" s="1264"/>
      <c r="I14" s="1264"/>
      <c r="J14" s="1264"/>
      <c r="K14" s="1264"/>
      <c r="L14" s="1264"/>
      <c r="M14" s="1264"/>
      <c r="N14" s="1264"/>
      <c r="O14" s="1264"/>
      <c r="P14" s="1264"/>
      <c r="Q14" s="1264"/>
      <c r="R14" s="1264"/>
      <c r="S14" s="1264"/>
      <c r="T14" s="1264"/>
      <c r="U14" s="1264"/>
    </row>
    <row r="15" spans="1:22" ht="27" customHeight="1" x14ac:dyDescent="0.25">
      <c r="A15" s="1262" t="s">
        <v>762</v>
      </c>
      <c r="B15" s="1264">
        <v>1</v>
      </c>
      <c r="C15" s="1264">
        <v>2</v>
      </c>
      <c r="D15" s="1264">
        <v>3</v>
      </c>
      <c r="E15" s="1264">
        <v>4</v>
      </c>
      <c r="F15" s="1264">
        <v>5</v>
      </c>
      <c r="G15" s="1264">
        <v>6</v>
      </c>
      <c r="H15" s="1264">
        <v>7</v>
      </c>
      <c r="I15" s="1264">
        <v>8</v>
      </c>
      <c r="J15" s="1264">
        <v>9</v>
      </c>
      <c r="K15" s="1264">
        <v>10</v>
      </c>
      <c r="L15" s="1264">
        <v>11</v>
      </c>
      <c r="M15" s="1264">
        <v>12</v>
      </c>
      <c r="N15" s="1264">
        <v>13</v>
      </c>
      <c r="O15" s="1264">
        <v>14</v>
      </c>
      <c r="P15" s="1264">
        <v>15</v>
      </c>
      <c r="Q15" s="1264">
        <v>16</v>
      </c>
      <c r="R15" s="1264">
        <v>17</v>
      </c>
      <c r="S15" s="1264">
        <v>18</v>
      </c>
      <c r="T15" s="1264">
        <v>19</v>
      </c>
      <c r="U15" s="1264">
        <v>20</v>
      </c>
    </row>
    <row r="16" spans="1:22" x14ac:dyDescent="0.25">
      <c r="A16" s="993" t="s">
        <v>763</v>
      </c>
      <c r="B16" s="1264">
        <v>7.0000000000000007E-2</v>
      </c>
      <c r="C16" s="1264">
        <v>7.0000000000000007E-2</v>
      </c>
      <c r="D16" s="1264">
        <v>4.9000000000000002E-2</v>
      </c>
      <c r="E16" s="1264">
        <v>4.9000000000000002E-2</v>
      </c>
      <c r="F16" s="1264">
        <v>4.9000000000000002E-2</v>
      </c>
      <c r="G16" s="1264">
        <v>4.9000000000000002E-2</v>
      </c>
      <c r="H16" s="1264">
        <v>4.9000000000000002E-2</v>
      </c>
      <c r="I16" s="1264">
        <v>4.9000000000000002E-2</v>
      </c>
      <c r="J16" s="1264">
        <v>4.9000000000000002E-2</v>
      </c>
      <c r="K16" s="1264">
        <v>4.9000000000000002E-2</v>
      </c>
      <c r="L16" s="1264">
        <v>4.9000000000000002E-2</v>
      </c>
      <c r="M16" s="1264">
        <v>4.9000000000000002E-2</v>
      </c>
      <c r="N16" s="1264">
        <f t="shared" ref="N16:T16" si="1">0.0475</f>
        <v>4.7500000000000001E-2</v>
      </c>
      <c r="O16" s="1264">
        <f t="shared" si="1"/>
        <v>4.7500000000000001E-2</v>
      </c>
      <c r="P16" s="1264">
        <f t="shared" si="1"/>
        <v>4.7500000000000001E-2</v>
      </c>
      <c r="Q16" s="1264">
        <f t="shared" si="1"/>
        <v>4.7500000000000001E-2</v>
      </c>
      <c r="R16" s="1264">
        <f t="shared" si="1"/>
        <v>4.7500000000000001E-2</v>
      </c>
      <c r="S16" s="1264">
        <f t="shared" si="1"/>
        <v>4.7500000000000001E-2</v>
      </c>
      <c r="T16" s="1264">
        <f t="shared" si="1"/>
        <v>4.7500000000000001E-2</v>
      </c>
      <c r="U16" s="1264">
        <f>0.0375</f>
        <v>3.7499999999999999E-2</v>
      </c>
      <c r="V16" s="1264">
        <f>SUM(B16:U16)</f>
        <v>0.99999999999999989</v>
      </c>
    </row>
    <row r="17" spans="1:23" ht="27" customHeight="1" x14ac:dyDescent="0.25">
      <c r="A17" s="993"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64">
        <f>SUM(B17:U17)</f>
        <v>0.94000000000000006</v>
      </c>
      <c r="W17" t="s">
        <v>765</v>
      </c>
    </row>
    <row r="19" spans="1:23" x14ac:dyDescent="0.25">
      <c r="B19" s="874" t="e">
        <f>'Federal and State Purchases'!#REF!</f>
        <v>#REF!</v>
      </c>
      <c r="C19" s="874"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Q19" zoomScale="98" zoomScaleNormal="80" workbookViewId="0">
      <selection activeCell="V5" sqref="V5"/>
    </sheetView>
  </sheetViews>
  <sheetFormatPr defaultColWidth="10.85546875" defaultRowHeight="15" x14ac:dyDescent="0.25"/>
  <cols>
    <col min="1" max="1" width="15.42578125" customWidth="1"/>
    <col min="2" max="2" width="32.42578125" customWidth="1"/>
  </cols>
  <sheetData>
    <row r="1" spans="1:23" x14ac:dyDescent="0.25">
      <c r="A1" s="753" t="s">
        <v>766</v>
      </c>
      <c r="B1" s="753" t="s">
        <v>676</v>
      </c>
      <c r="C1" s="1265">
        <v>2021</v>
      </c>
      <c r="D1" s="1265">
        <f>C1</f>
        <v>2021</v>
      </c>
      <c r="E1" s="1265">
        <f>D1</f>
        <v>2021</v>
      </c>
      <c r="F1" s="1265">
        <v>2022</v>
      </c>
      <c r="G1" s="1265">
        <v>2022</v>
      </c>
      <c r="H1" s="1265">
        <v>2022</v>
      </c>
      <c r="I1" s="1265">
        <v>2022</v>
      </c>
      <c r="J1" s="1265">
        <v>2023</v>
      </c>
      <c r="K1" s="1265">
        <v>2023</v>
      </c>
      <c r="L1" s="1265">
        <v>2023</v>
      </c>
      <c r="M1" s="1265">
        <v>2023</v>
      </c>
      <c r="N1" s="1265">
        <v>2024</v>
      </c>
      <c r="O1" s="1265">
        <v>2024</v>
      </c>
      <c r="P1" s="1265">
        <v>2024</v>
      </c>
      <c r="Q1" s="1265">
        <v>2024</v>
      </c>
      <c r="R1" s="1265">
        <v>2025</v>
      </c>
      <c r="S1" s="1265">
        <v>2025</v>
      </c>
      <c r="T1" s="1265">
        <v>2025</v>
      </c>
      <c r="U1" s="1265">
        <v>2025</v>
      </c>
      <c r="V1" s="1265">
        <v>2026</v>
      </c>
    </row>
    <row r="2" spans="1:23" x14ac:dyDescent="0.25">
      <c r="B2" s="753" t="s">
        <v>767</v>
      </c>
      <c r="C2" s="634" t="s">
        <v>250</v>
      </c>
      <c r="D2" s="634" t="s">
        <v>251</v>
      </c>
      <c r="E2" s="634" t="s">
        <v>180</v>
      </c>
      <c r="F2" s="634" t="s">
        <v>181</v>
      </c>
      <c r="G2" s="634" t="s">
        <v>182</v>
      </c>
      <c r="H2" s="634" t="s">
        <v>183</v>
      </c>
      <c r="I2" s="634" t="s">
        <v>184</v>
      </c>
      <c r="J2" s="634" t="s">
        <v>185</v>
      </c>
      <c r="K2" s="634" t="s">
        <v>186</v>
      </c>
      <c r="L2" s="634" t="s">
        <v>187</v>
      </c>
      <c r="M2" s="634" t="s">
        <v>188</v>
      </c>
      <c r="N2" s="634" t="s">
        <v>189</v>
      </c>
      <c r="O2" s="634" t="s">
        <v>190</v>
      </c>
      <c r="P2" s="634" t="s">
        <v>191</v>
      </c>
      <c r="Q2" s="634" t="s">
        <v>175</v>
      </c>
      <c r="R2" s="634" t="s">
        <v>176</v>
      </c>
      <c r="S2" s="634" t="s">
        <v>177</v>
      </c>
      <c r="T2" s="634" t="s">
        <v>768</v>
      </c>
      <c r="U2" s="634" t="s">
        <v>769</v>
      </c>
      <c r="V2" s="634" t="s">
        <v>770</v>
      </c>
    </row>
    <row r="3" spans="1:23" x14ac:dyDescent="0.25">
      <c r="A3" s="753">
        <v>3</v>
      </c>
      <c r="B3" s="753" t="s">
        <v>531</v>
      </c>
      <c r="C3" s="1266">
        <f>4*'ARP Timing'!B6*VLOOKUP(C$1,'ARP Score'!$A$5:$M14,$A3)</f>
        <v>0</v>
      </c>
      <c r="D3" s="1266">
        <f>4*'ARP Timing'!C6*VLOOKUP(D$1,'ARP Score'!$A$5:$M14,$A3)</f>
        <v>336.60399999999998</v>
      </c>
      <c r="E3" s="1266">
        <f>4*'ARP Timing'!D6*VLOOKUP(E$1,'ARP Score'!$A$5:$M14,$A3)</f>
        <v>446.19599999999991</v>
      </c>
      <c r="F3" s="1266">
        <f>4*'ARP Timing'!E6*VLOOKUP(F$1,'ARP Score'!$A$5:$M14,$A3)</f>
        <v>10.1</v>
      </c>
      <c r="G3" s="1266">
        <f>4*'ARP Timing'!F6*VLOOKUP(G$1,'ARP Score'!$A$5:$M14,$A3)</f>
        <v>10.1</v>
      </c>
      <c r="H3" s="1266">
        <f>4*'ARP Timing'!G6*VLOOKUP(H$1,'ARP Score'!$A$5:$M14,$A3)</f>
        <v>10.1</v>
      </c>
      <c r="I3" s="1266">
        <f>4*'ARP Timing'!H6*VLOOKUP(I$1,'ARP Score'!$A$5:$M14,$A3)</f>
        <v>10.1</v>
      </c>
      <c r="J3" s="1266">
        <f>4*'ARP Timing'!I6*VLOOKUP(J$1,'ARP Score'!$A$5:$M14,$A3)</f>
        <v>0</v>
      </c>
      <c r="K3" s="1266">
        <f>4*'ARP Timing'!J6*VLOOKUP(K$1,'ARP Score'!$A$5:$M14,$A3)</f>
        <v>0</v>
      </c>
      <c r="L3" s="1266">
        <f>4*'ARP Timing'!K6*VLOOKUP(L$1,'ARP Score'!$A$5:$M14,$A3)</f>
        <v>0</v>
      </c>
      <c r="M3" s="1266">
        <f>4*'ARP Timing'!L6*VLOOKUP(M$1,'ARP Score'!$A$5:$M14,$A3)</f>
        <v>0</v>
      </c>
      <c r="N3" s="1266">
        <f>4*'ARP Timing'!M6*VLOOKUP(N$1,'ARP Score'!$A$5:$M14,$A3)</f>
        <v>0</v>
      </c>
      <c r="O3" s="1266">
        <f>4*'ARP Timing'!N6*VLOOKUP(O$1,'ARP Score'!$A$5:$M14,$A3)</f>
        <v>0</v>
      </c>
      <c r="P3" s="1266">
        <f>4*'ARP Timing'!O6*VLOOKUP(P$1,'ARP Score'!$A$5:$M14,$A3)</f>
        <v>0</v>
      </c>
      <c r="Q3" s="1266">
        <f>4*'ARP Timing'!P6*VLOOKUP(Q$1,'ARP Score'!$A$5:$M14,$A3)</f>
        <v>0</v>
      </c>
      <c r="R3" s="1266">
        <f>4*'ARP Timing'!Q6*VLOOKUP(R$1,'ARP Score'!$A$5:$M14,$A3)</f>
        <v>0</v>
      </c>
      <c r="S3" s="1266">
        <f>4*'ARP Timing'!R6*VLOOKUP(S$1,'ARP Score'!$A$5:$M14,$A3)</f>
        <v>0</v>
      </c>
      <c r="T3" s="1266">
        <f>4*'ARP Timing'!S6*VLOOKUP(T$1,'ARP Score'!$A$5:$M14,$A3)</f>
        <v>0</v>
      </c>
      <c r="U3" s="1266">
        <f>4*'ARP Timing'!T6*VLOOKUP(U$1,'ARP Score'!$A$5:$M14,$A3)</f>
        <v>0</v>
      </c>
      <c r="V3" s="1266">
        <f>4*'ARP Timing'!U6*VLOOKUP(V$1,'ARP Score'!$A$5:$M14,$A3)</f>
        <v>0</v>
      </c>
      <c r="W3" s="1266">
        <f>SUM(C3:U3)/4</f>
        <v>205.8</v>
      </c>
    </row>
    <row r="4" spans="1:23" x14ac:dyDescent="0.25">
      <c r="A4" s="753">
        <v>5</v>
      </c>
      <c r="B4" s="33" t="s">
        <v>678</v>
      </c>
      <c r="C4" s="1266">
        <f>4*'ARP Timing'!B7*VLOOKUP(C$1,'ARP Score'!$A$5:$M15,$A4)</f>
        <v>0</v>
      </c>
      <c r="D4" s="1266">
        <f>4*'ARP Timing'!C7*VLOOKUP(D$1,'ARP Score'!$A$5:$M15,$A4)</f>
        <v>0</v>
      </c>
      <c r="E4" s="1266">
        <f>4*'ARP Timing'!D7*VLOOKUP(E$1,'ARP Score'!$A$5:$M15,$A4)</f>
        <v>3.1040000000000418</v>
      </c>
      <c r="F4" s="1266">
        <f>4*'ARP Timing'!E7*VLOOKUP(F$1,'ARP Score'!$A$5:$M15,$A4)</f>
        <v>19.719000000000005</v>
      </c>
      <c r="G4" s="1266">
        <f>4*'ARP Timing'!F7*VLOOKUP(G$1,'ARP Score'!$A$5:$M15,$A4)</f>
        <v>19.719000000000005</v>
      </c>
      <c r="H4" s="1266">
        <f>4*'ARP Timing'!G7*VLOOKUP(H$1,'ARP Score'!$A$5:$M15,$A4)</f>
        <v>19.719000000000005</v>
      </c>
      <c r="I4" s="1266">
        <f>4*'ARP Timing'!H7*VLOOKUP(I$1,'ARP Score'!$A$5:$M15,$A4)</f>
        <v>19.719000000000005</v>
      </c>
      <c r="J4" s="1266">
        <f>4*'ARP Timing'!I7*VLOOKUP(J$1,'ARP Score'!$A$5:$M15,$A4)</f>
        <v>1.4159999999999999</v>
      </c>
      <c r="K4" s="1266">
        <f>4*'ARP Timing'!J7*VLOOKUP(K$1,'ARP Score'!$A$5:$M15,$A4)</f>
        <v>1.4159999999999999</v>
      </c>
      <c r="L4" s="1266">
        <f>4*'ARP Timing'!K7*VLOOKUP(L$1,'ARP Score'!$A$5:$M15,$A4)</f>
        <v>1.4159999999999999</v>
      </c>
      <c r="M4" s="1266">
        <f>4*'ARP Timing'!L7*VLOOKUP(M$1,'ARP Score'!$A$5:$M15,$A4)</f>
        <v>1.4159999999999999</v>
      </c>
      <c r="N4" s="1266">
        <f>4*'ARP Timing'!M7*VLOOKUP(N$1,'ARP Score'!$A$5:$M15,$A4)</f>
        <v>1.4790000000000001</v>
      </c>
      <c r="O4" s="1266">
        <f>4*'ARP Timing'!N7*VLOOKUP(O$1,'ARP Score'!$A$5:$M15,$A4)</f>
        <v>1.4790000000000001</v>
      </c>
      <c r="P4" s="1266">
        <f>4*'ARP Timing'!O7*VLOOKUP(P$1,'ARP Score'!$A$5:$M15,$A4)</f>
        <v>1.4790000000000001</v>
      </c>
      <c r="Q4" s="1266">
        <f>4*'ARP Timing'!P7*VLOOKUP(Q$1,'ARP Score'!$A$5:$M15,$A4)</f>
        <v>1.4790000000000001</v>
      </c>
      <c r="R4" s="1266">
        <f>4*'ARP Timing'!Q7*VLOOKUP(R$1,'ARP Score'!$A$5:$M15,$A4)</f>
        <v>1.63</v>
      </c>
      <c r="S4" s="1266">
        <f>4*'ARP Timing'!R7*VLOOKUP(S$1,'ARP Score'!$A$5:$M15,$A4)</f>
        <v>1.63</v>
      </c>
      <c r="T4" s="1266">
        <f>4*'ARP Timing'!S7*VLOOKUP(T$1,'ARP Score'!$A$5:$M15,$A4)</f>
        <v>1.63</v>
      </c>
      <c r="U4" s="1266">
        <f>4*'ARP Timing'!T7*VLOOKUP(U$1,'ARP Score'!$A$5:$M15,$A4)</f>
        <v>1.63</v>
      </c>
      <c r="V4" s="1266">
        <f>4*'ARP Timing'!U7*VLOOKUP(V$1,'ARP Score'!$A$5:$M15,$A4)</f>
        <v>1.671</v>
      </c>
      <c r="W4" s="1266">
        <f>SUM(C4:U4)/4</f>
        <v>25.020000000000007</v>
      </c>
    </row>
    <row r="5" spans="1:23" x14ac:dyDescent="0.25">
      <c r="A5" s="753">
        <v>6</v>
      </c>
      <c r="B5" s="33" t="s">
        <v>679</v>
      </c>
      <c r="C5" s="1266">
        <f>4*'ARP Timing'!B8*VLOOKUP(C$1,'ARP Score'!$A$5:$M16,$A5)</f>
        <v>0</v>
      </c>
      <c r="D5" s="1266">
        <f>4*'ARP Timing'!C8*VLOOKUP(D$1,'ARP Score'!$A$5:$M16,$A5)</f>
        <v>33.921840000000024</v>
      </c>
      <c r="E5" s="1266">
        <f>4*'ARP Timing'!D8*VLOOKUP(E$1,'ARP Score'!$A$5:$M16,$A5)</f>
        <v>44.966160000000031</v>
      </c>
      <c r="F5" s="1266">
        <f>4*'ARP Timing'!E8*VLOOKUP(F$1,'ARP Score'!$A$5:$M16,$A5)</f>
        <v>52.756999999999998</v>
      </c>
      <c r="G5" s="1266">
        <f>4*'ARP Timing'!F8*VLOOKUP(G$1,'ARP Score'!$A$5:$M16,$A5)</f>
        <v>52.756999999999998</v>
      </c>
      <c r="H5" s="1266">
        <f>4*'ARP Timing'!G8*VLOOKUP(H$1,'ARP Score'!$A$5:$M16,$A5)</f>
        <v>52.756999999999998</v>
      </c>
      <c r="I5" s="1266">
        <f>4*'ARP Timing'!H8*VLOOKUP(I$1,'ARP Score'!$A$5:$M16,$A5)</f>
        <v>52.756999999999998</v>
      </c>
      <c r="J5" s="1266">
        <f>4*'ARP Timing'!I8*VLOOKUP(J$1,'ARP Score'!$A$5:$M16,$A5)</f>
        <v>12</v>
      </c>
      <c r="K5" s="1266">
        <f>4*'ARP Timing'!J8*VLOOKUP(K$1,'ARP Score'!$A$5:$M16,$A5)</f>
        <v>12</v>
      </c>
      <c r="L5" s="1266">
        <f>4*'ARP Timing'!K8*VLOOKUP(L$1,'ARP Score'!$A$5:$M16,$A5)</f>
        <v>12</v>
      </c>
      <c r="M5" s="1266">
        <f>4*'ARP Timing'!L8*VLOOKUP(M$1,'ARP Score'!$A$5:$M16,$A5)</f>
        <v>12</v>
      </c>
      <c r="N5" s="1266">
        <f>4*'ARP Timing'!M8*VLOOKUP(N$1,'ARP Score'!$A$5:$M16,$A5)</f>
        <v>4.2219999999999995</v>
      </c>
      <c r="O5" s="1266">
        <f>4*'ARP Timing'!N8*VLOOKUP(O$1,'ARP Score'!$A$5:$M16,$A5)</f>
        <v>4.2219999999999995</v>
      </c>
      <c r="P5" s="1266">
        <f>4*'ARP Timing'!O8*VLOOKUP(P$1,'ARP Score'!$A$5:$M16,$A5)</f>
        <v>4.2219999999999995</v>
      </c>
      <c r="Q5" s="1266">
        <f>4*'ARP Timing'!P8*VLOOKUP(Q$1,'ARP Score'!$A$5:$M16,$A5)</f>
        <v>4.2219999999999995</v>
      </c>
      <c r="R5" s="1266">
        <f>4*'ARP Timing'!Q8*VLOOKUP(R$1,'ARP Score'!$A$5:$M16,$A5)</f>
        <v>2.3719999999999999</v>
      </c>
      <c r="S5" s="1266">
        <f>4*'ARP Timing'!R8*VLOOKUP(S$1,'ARP Score'!$A$5:$M16,$A5)</f>
        <v>2.3719999999999999</v>
      </c>
      <c r="T5" s="1266">
        <f>4*'ARP Timing'!S8*VLOOKUP(T$1,'ARP Score'!$A$5:$M16,$A5)</f>
        <v>2.3719999999999999</v>
      </c>
      <c r="U5" s="1266">
        <f>4*'ARP Timing'!T8*VLOOKUP(U$1,'ARP Score'!$A$5:$M16,$A5)</f>
        <v>2.3719999999999999</v>
      </c>
      <c r="V5" s="1266">
        <f>4*'ARP Timing'!U8*VLOOKUP(V$1,'ARP Score'!$A$5:$M16,$A5)</f>
        <v>0.49</v>
      </c>
      <c r="W5" s="1266">
        <f t="shared" ref="W5:W15" si="0">SUM(C5:U5)/4</f>
        <v>91.073000000000008</v>
      </c>
    </row>
    <row r="6" spans="1:23" x14ac:dyDescent="0.25">
      <c r="A6" s="753">
        <v>7</v>
      </c>
      <c r="B6" s="33" t="s">
        <v>771</v>
      </c>
      <c r="C6" s="1266">
        <f>4*'ARP Timing'!B9*VLOOKUP(C$1,'ARP Score'!$A$5:$M17,$A6)</f>
        <v>0</v>
      </c>
      <c r="D6" s="1266">
        <f>4*'ARP Timing'!C9*VLOOKUP(D$1,'ARP Score'!$A$5:$M17,$A6)</f>
        <v>58.782959999999989</v>
      </c>
      <c r="E6" s="1266">
        <f>4*'ARP Timing'!D9*VLOOKUP(E$1,'ARP Score'!$A$5:$M17,$A6)</f>
        <v>267.78904</v>
      </c>
      <c r="F6" s="1266">
        <f>4*'ARP Timing'!E9*VLOOKUP(F$1,'ARP Score'!$A$5:$M17,$A6)</f>
        <v>110.24799999999999</v>
      </c>
      <c r="G6" s="1266">
        <f>4*'ARP Timing'!F9*VLOOKUP(G$1,'ARP Score'!$A$5:$M17,$A6)</f>
        <v>110.24799999999999</v>
      </c>
      <c r="H6" s="1266">
        <f>4*'ARP Timing'!G9*VLOOKUP(H$1,'ARP Score'!$A$5:$M17,$A6)</f>
        <v>110.24799999999999</v>
      </c>
      <c r="I6" s="1266">
        <f>4*'ARP Timing'!H9*VLOOKUP(I$1,'ARP Score'!$A$5:$M17,$A6)</f>
        <v>110.24799999999999</v>
      </c>
      <c r="J6" s="1266">
        <f>4*'ARP Timing'!I9*VLOOKUP(J$1,'ARP Score'!$A$5:$M17,$A6)</f>
        <v>12.726000000000001</v>
      </c>
      <c r="K6" s="1266">
        <f>4*'ARP Timing'!J9*VLOOKUP(K$1,'ARP Score'!$A$5:$M17,$A6)</f>
        <v>12.726000000000001</v>
      </c>
      <c r="L6" s="1266">
        <f>4*'ARP Timing'!K9*VLOOKUP(L$1,'ARP Score'!$A$5:$M17,$A6)</f>
        <v>12.726000000000001</v>
      </c>
      <c r="M6" s="1266">
        <f>4*'ARP Timing'!L9*VLOOKUP(M$1,'ARP Score'!$A$5:$M17,$A6)</f>
        <v>12.726000000000001</v>
      </c>
      <c r="N6" s="1266">
        <f>4*'ARP Timing'!M9*VLOOKUP(N$1,'ARP Score'!$A$5:$M17,$A6)</f>
        <v>1.365</v>
      </c>
      <c r="O6" s="1266">
        <f>4*'ARP Timing'!N9*VLOOKUP(O$1,'ARP Score'!$A$5:$M17,$A6)</f>
        <v>1.365</v>
      </c>
      <c r="P6" s="1266">
        <f>4*'ARP Timing'!O9*VLOOKUP(P$1,'ARP Score'!$A$5:$M17,$A6)</f>
        <v>1.365</v>
      </c>
      <c r="Q6" s="1266">
        <f>4*'ARP Timing'!P9*VLOOKUP(Q$1,'ARP Score'!$A$5:$M17,$A6)</f>
        <v>1.365</v>
      </c>
      <c r="R6" s="1266">
        <f>4*'ARP Timing'!Q9*VLOOKUP(R$1,'ARP Score'!$A$5:$M17,$A6)</f>
        <v>-0.90100000000000025</v>
      </c>
      <c r="S6" s="1266">
        <f>4*'ARP Timing'!R9*VLOOKUP(S$1,'ARP Score'!$A$5:$M17,$A6)</f>
        <v>-0.90100000000000025</v>
      </c>
      <c r="T6" s="1266">
        <f>4*'ARP Timing'!S9*VLOOKUP(T$1,'ARP Score'!$A$5:$M17,$A6)</f>
        <v>-0.90100000000000025</v>
      </c>
      <c r="U6" s="1266">
        <f>4*'ARP Timing'!T9*VLOOKUP(U$1,'ARP Score'!$A$5:$M17,$A6)</f>
        <v>-0.90100000000000025</v>
      </c>
      <c r="V6" s="1266">
        <f>4*'ARP Timing'!U9*VLOOKUP(V$1,'ARP Score'!$A$5:$M17,$A6)</f>
        <v>-2.1500000000000004</v>
      </c>
      <c r="W6" s="1266">
        <f t="shared" si="0"/>
        <v>205.08100000000007</v>
      </c>
    </row>
    <row r="7" spans="1:23" x14ac:dyDescent="0.25">
      <c r="A7" s="753">
        <v>8</v>
      </c>
      <c r="B7" s="33" t="s">
        <v>131</v>
      </c>
      <c r="C7" s="1266">
        <f>4*'ARP Timing'!B10*VLOOKUP(C$1,'ARP Score'!$A$5:$M18,$A7)</f>
        <v>0</v>
      </c>
      <c r="D7" s="1266">
        <f>4*'ARP Timing'!C10*VLOOKUP(D$1,'ARP Score'!$A$5:$M18,$A7)</f>
        <v>15.596</v>
      </c>
      <c r="E7" s="1266">
        <f>4*'ARP Timing'!D10*VLOOKUP(E$1,'ARP Score'!$A$5:$M18,$A7)</f>
        <v>15.596</v>
      </c>
      <c r="F7" s="1266">
        <f>4*'ARP Timing'!E10*VLOOKUP(F$1,'ARP Score'!$A$5:$M18,$A7)</f>
        <v>7.9489999999999998</v>
      </c>
      <c r="G7" s="1266">
        <f>4*'ARP Timing'!F10*VLOOKUP(G$1,'ARP Score'!$A$5:$M18,$A7)</f>
        <v>7.9489999999999998</v>
      </c>
      <c r="H7" s="1266">
        <f>4*'ARP Timing'!G10*VLOOKUP(H$1,'ARP Score'!$A$5:$M18,$A7)</f>
        <v>7.9489999999999998</v>
      </c>
      <c r="I7" s="1266">
        <f>4*'ARP Timing'!H10*VLOOKUP(I$1,'ARP Score'!$A$5:$M18,$A7)</f>
        <v>7.9489999999999998</v>
      </c>
      <c r="J7" s="1266">
        <f>4*'ARP Timing'!I10*VLOOKUP(J$1,'ARP Score'!$A$5:$M18,$A7)</f>
        <v>4.7519999999999998</v>
      </c>
      <c r="K7" s="1266">
        <f>4*'ARP Timing'!J10*VLOOKUP(K$1,'ARP Score'!$A$5:$M18,$A7)</f>
        <v>4.7519999999999998</v>
      </c>
      <c r="L7" s="1266">
        <f>4*'ARP Timing'!K10*VLOOKUP(L$1,'ARP Score'!$A$5:$M18,$A7)</f>
        <v>4.7519999999999998</v>
      </c>
      <c r="M7" s="1266">
        <f>4*'ARP Timing'!L10*VLOOKUP(M$1,'ARP Score'!$A$5:$M18,$A7)</f>
        <v>4.7519999999999998</v>
      </c>
      <c r="N7" s="1266">
        <f>4*'ARP Timing'!M10*VLOOKUP(N$1,'ARP Score'!$A$5:$M18,$A7)</f>
        <v>4.637999999999999</v>
      </c>
      <c r="O7" s="1266">
        <f>4*'ARP Timing'!N10*VLOOKUP(O$1,'ARP Score'!$A$5:$M18,$A7)</f>
        <v>4.637999999999999</v>
      </c>
      <c r="P7" s="1266">
        <f>4*'ARP Timing'!O10*VLOOKUP(P$1,'ARP Score'!$A$5:$M18,$A7)</f>
        <v>4.637999999999999</v>
      </c>
      <c r="Q7" s="1266">
        <f>4*'ARP Timing'!P10*VLOOKUP(Q$1,'ARP Score'!$A$5:$M18,$A7)</f>
        <v>4.637999999999999</v>
      </c>
      <c r="R7" s="1266">
        <f>4*'ARP Timing'!Q10*VLOOKUP(R$1,'ARP Score'!$A$5:$M18,$A7)</f>
        <v>1.8800000000000001</v>
      </c>
      <c r="S7" s="1266">
        <f>4*'ARP Timing'!R10*VLOOKUP(S$1,'ARP Score'!$A$5:$M18,$A7)</f>
        <v>1.8800000000000001</v>
      </c>
      <c r="T7" s="1266">
        <f>4*'ARP Timing'!S10*VLOOKUP(T$1,'ARP Score'!$A$5:$M18,$A7)</f>
        <v>1.8800000000000001</v>
      </c>
      <c r="U7" s="1266">
        <f>4*'ARP Timing'!T10*VLOOKUP(U$1,'ARP Score'!$A$5:$M18,$A7)</f>
        <v>1.8800000000000001</v>
      </c>
      <c r="V7" s="1266">
        <f>4*'ARP Timing'!U10*VLOOKUP(V$1,'ARP Score'!$A$5:$M18,$A7)</f>
        <v>1.446</v>
      </c>
      <c r="W7" s="1266">
        <f t="shared" si="0"/>
        <v>27.016999999999996</v>
      </c>
    </row>
    <row r="8" spans="1:23" x14ac:dyDescent="0.25">
      <c r="A8" s="753">
        <v>9</v>
      </c>
      <c r="B8" s="1267" t="s">
        <v>348</v>
      </c>
      <c r="C8" s="1266">
        <f>4*'ARP Timing'!B$11*VLOOKUP(C$1,'ARP Score'!$A$5:$M19,$A8)</f>
        <v>0</v>
      </c>
      <c r="D8" s="1266">
        <f>0.6*SUM('ARP Score'!B5:B7)*4</f>
        <v>989.16719999999987</v>
      </c>
      <c r="E8" s="1265">
        <v>0</v>
      </c>
      <c r="F8" s="1266">
        <v>0</v>
      </c>
      <c r="G8" s="1266">
        <v>0</v>
      </c>
      <c r="H8" s="1266">
        <f>D8*0.4/0.6</f>
        <v>659.44479999999999</v>
      </c>
      <c r="I8" s="1266">
        <v>0</v>
      </c>
      <c r="J8" s="753">
        <v>0</v>
      </c>
      <c r="K8" s="1266">
        <v>0</v>
      </c>
      <c r="L8" s="1266">
        <v>0</v>
      </c>
      <c r="M8" s="1266">
        <v>0</v>
      </c>
      <c r="N8" s="1266">
        <v>0</v>
      </c>
      <c r="O8" s="1266">
        <v>0</v>
      </c>
      <c r="P8" s="1266">
        <v>0</v>
      </c>
      <c r="Q8" s="1266">
        <v>0</v>
      </c>
      <c r="R8" s="1266">
        <v>0</v>
      </c>
      <c r="S8" s="1266">
        <v>0</v>
      </c>
      <c r="T8" s="1266">
        <v>0</v>
      </c>
      <c r="U8" s="1266">
        <v>0</v>
      </c>
      <c r="V8" s="1266">
        <v>0</v>
      </c>
      <c r="W8" s="1266">
        <f t="shared" si="0"/>
        <v>412.15299999999996</v>
      </c>
    </row>
    <row r="9" spans="1:23" x14ac:dyDescent="0.25">
      <c r="A9" s="753">
        <v>10</v>
      </c>
      <c r="B9" s="1267" t="s">
        <v>150</v>
      </c>
      <c r="C9" s="1266">
        <f>4*'ARP Timing'!B$11*VLOOKUP(C$1,'ARP Score'!$A$5:$M20,$A9)</f>
        <v>0</v>
      </c>
      <c r="D9" s="1266">
        <f>4*'ARP Timing'!C$11*VLOOKUP(D$1,'ARP Score'!$A$5:$M20,$A9)</f>
        <v>24.693999999999999</v>
      </c>
      <c r="E9" s="1266">
        <f>4*'ARP Timing'!D$11*VLOOKUP(E$1,'ARP Score'!$A$5:$M20,$A9)</f>
        <v>24.693999999999999</v>
      </c>
      <c r="F9" s="1266">
        <f>4*'ARP Timing'!E$11*VLOOKUP(F$1,'ARP Score'!$A$5:$M20,$A9)</f>
        <v>46.79</v>
      </c>
      <c r="G9" s="1266">
        <f>4*'ARP Timing'!F$11*VLOOKUP(G$1,'ARP Score'!$A$5:$M20,$A9)</f>
        <v>46.79</v>
      </c>
      <c r="H9" s="1266">
        <f>4*'ARP Timing'!G$11*VLOOKUP(H$1,'ARP Score'!$A$5:$M20,$A9)</f>
        <v>46.79</v>
      </c>
      <c r="I9" s="1266">
        <f>4*'ARP Timing'!H$11*VLOOKUP(I$1,'ARP Score'!$A$5:$M20,$A9)</f>
        <v>46.79</v>
      </c>
      <c r="J9" s="1266">
        <f>4*'ARP Timing'!I$11*VLOOKUP(J$1,'ARP Score'!$A$5:$M20,$A9)</f>
        <v>38.595999999999997</v>
      </c>
      <c r="K9" s="1266">
        <f>4*'ARP Timing'!J$11*VLOOKUP(K$1,'ARP Score'!$A$5:$M20,$A9)</f>
        <v>38.595999999999997</v>
      </c>
      <c r="L9" s="1266">
        <f>4*'ARP Timing'!K$11*VLOOKUP(L$1,'ARP Score'!$A$5:$M20,$A9)</f>
        <v>38.595999999999997</v>
      </c>
      <c r="M9" s="1266">
        <f>4*'ARP Timing'!L$11*VLOOKUP(M$1,'ARP Score'!$A$5:$M20,$A9)</f>
        <v>38.595999999999997</v>
      </c>
      <c r="N9" s="1266">
        <f>4*'ARP Timing'!M$11*VLOOKUP(N$1,'ARP Score'!$A$5:$M20,$A9)</f>
        <v>31.911000000000001</v>
      </c>
      <c r="O9" s="1266">
        <f>4*'ARP Timing'!N$11*VLOOKUP(O$1,'ARP Score'!$A$5:$M20,$A9)</f>
        <v>31.911000000000001</v>
      </c>
      <c r="P9" s="1266">
        <f>4*'ARP Timing'!O$11*VLOOKUP(P$1,'ARP Score'!$A$5:$M20,$A9)</f>
        <v>31.911000000000001</v>
      </c>
      <c r="Q9" s="1266">
        <f>4*'ARP Timing'!P$11*VLOOKUP(Q$1,'ARP Score'!$A$5:$M20,$A9)</f>
        <v>31.911000000000001</v>
      </c>
      <c r="R9" s="1266">
        <f>4*'ARP Timing'!Q$11*VLOOKUP(R$1,'ARP Score'!$A$5:$M20,$A9)</f>
        <v>23.099</v>
      </c>
      <c r="S9" s="1266">
        <f>4*'ARP Timing'!R$11*VLOOKUP(S$1,'ARP Score'!$A$5:$M20,$A9)</f>
        <v>23.099</v>
      </c>
      <c r="T9" s="1266">
        <f>4*'ARP Timing'!S$11*VLOOKUP(T$1,'ARP Score'!$A$5:$M20,$A9)</f>
        <v>23.099</v>
      </c>
      <c r="U9" s="1266">
        <f>4*'ARP Timing'!T$11*VLOOKUP(U$1,'ARP Score'!$A$5:$M20,$A9)</f>
        <v>23.099</v>
      </c>
      <c r="V9" s="1266">
        <f>4*'ARP Timing'!U$11*VLOOKUP(V$1,'ARP Score'!$A$5:$M20,$A9)</f>
        <v>10.766999999999999</v>
      </c>
      <c r="W9" s="1266">
        <f t="shared" si="0"/>
        <v>152.74300000000005</v>
      </c>
    </row>
    <row r="10" spans="1:23" x14ac:dyDescent="0.25">
      <c r="A10" s="1271">
        <v>11</v>
      </c>
      <c r="B10" s="1267" t="s">
        <v>364</v>
      </c>
      <c r="C10" s="1266">
        <f>4*'ARP Timing'!B$11*VLOOKUP(C$1,'ARP Score'!$A$5:$M22,$A10)</f>
        <v>0</v>
      </c>
      <c r="D10" s="1266">
        <f>4*'ARP Timing'!C$11*VLOOKUP(D$1,'ARP Score'!$A$5:$M22,$A10)</f>
        <v>59.256</v>
      </c>
      <c r="E10" s="1266">
        <f>4*'ARP Timing'!D$11*VLOOKUP(E$1,'ARP Score'!$A$5:$M22,$A10)</f>
        <v>59.256</v>
      </c>
      <c r="F10" s="1266">
        <f>4*'ARP Timing'!E$11*VLOOKUP(F$1,'ARP Score'!$A$5:$M22,$A10)</f>
        <v>35.671000000000006</v>
      </c>
      <c r="G10" s="1266">
        <f>4*'ARP Timing'!F$11*VLOOKUP(G$1,'ARP Score'!$A$5:$M22,$A10)</f>
        <v>35.671000000000006</v>
      </c>
      <c r="H10" s="1266">
        <f>4*'ARP Timing'!G$11*VLOOKUP(H$1,'ARP Score'!$A$5:$M22,$A10)</f>
        <v>35.671000000000006</v>
      </c>
      <c r="I10" s="1266">
        <f>4*'ARP Timing'!H$11*VLOOKUP(I$1,'ARP Score'!$A$5:$M22,$A10)</f>
        <v>35.671000000000006</v>
      </c>
      <c r="J10" s="1266">
        <f>4*'ARP Timing'!I$11*VLOOKUP(J$1,'ARP Score'!$A$5:$M22,$A10)</f>
        <v>24.216000000000001</v>
      </c>
      <c r="K10" s="1266">
        <f>4*'ARP Timing'!J$11*VLOOKUP(K$1,'ARP Score'!$A$5:$M22,$A10)</f>
        <v>24.216000000000001</v>
      </c>
      <c r="L10" s="1266">
        <f>4*'ARP Timing'!K$11*VLOOKUP(L$1,'ARP Score'!$A$5:$M22,$A10)</f>
        <v>24.216000000000001</v>
      </c>
      <c r="M10" s="1266">
        <f>4*'ARP Timing'!L$11*VLOOKUP(M$1,'ARP Score'!$A$5:$M22,$A10)</f>
        <v>24.216000000000001</v>
      </c>
      <c r="N10" s="1266">
        <f>4*'ARP Timing'!M$11*VLOOKUP(N$1,'ARP Score'!$A$5:$M22,$A10)</f>
        <v>9.6430000000000007</v>
      </c>
      <c r="O10" s="1266">
        <f>4*'ARP Timing'!N$11*VLOOKUP(O$1,'ARP Score'!$A$5:$M22,$A10)</f>
        <v>9.6430000000000007</v>
      </c>
      <c r="P10" s="1266">
        <f>4*'ARP Timing'!O$11*VLOOKUP(P$1,'ARP Score'!$A$5:$M22,$A10)</f>
        <v>9.6430000000000007</v>
      </c>
      <c r="Q10" s="1266">
        <f>4*'ARP Timing'!P$11*VLOOKUP(Q$1,'ARP Score'!$A$5:$M22,$A10)</f>
        <v>9.6430000000000007</v>
      </c>
      <c r="R10" s="1266">
        <f>4*'ARP Timing'!Q$11*VLOOKUP(R$1,'ARP Score'!$A$5:$M22,$A10)</f>
        <v>4.5789999999999997</v>
      </c>
      <c r="S10" s="1266">
        <f>4*'ARP Timing'!R$11*VLOOKUP(S$1,'ARP Score'!$A$5:$M22,$A10)</f>
        <v>4.5789999999999997</v>
      </c>
      <c r="T10" s="1266">
        <f>4*'ARP Timing'!S$11*VLOOKUP(T$1,'ARP Score'!$A$5:$M22,$A10)</f>
        <v>4.5789999999999997</v>
      </c>
      <c r="U10" s="1266">
        <f>4*'ARP Timing'!T$11*VLOOKUP(U$1,'ARP Score'!$A$5:$M22,$A10)</f>
        <v>4.5789999999999997</v>
      </c>
      <c r="V10" s="1266">
        <f>4*'ARP Timing'!U$11*VLOOKUP(V$1,'ARP Score'!$A$5:$M22,$A10)</f>
        <v>2.9130000000000003</v>
      </c>
      <c r="W10" s="1266">
        <f t="shared" si="0"/>
        <v>103.73700000000002</v>
      </c>
    </row>
    <row r="11" spans="1:23" x14ac:dyDescent="0.25">
      <c r="A11" s="753">
        <v>12</v>
      </c>
      <c r="B11" s="14" t="s">
        <v>159</v>
      </c>
      <c r="C11" s="1266">
        <f>4*'ARP Timing'!B12*VLOOKUP(C$1,'ARP Score'!$A$5:$M20,$A11)</f>
        <v>103</v>
      </c>
      <c r="D11" s="1266">
        <f>4*'ARP Timing'!C12*VLOOKUP(D$1,'ARP Score'!$A$5:$M20,$A11)</f>
        <v>0</v>
      </c>
      <c r="E11" s="1266">
        <f>4*'ARP Timing'!D12*VLOOKUP(E$1,'ARP Score'!$A$5:$M20,$A11)</f>
        <v>0</v>
      </c>
      <c r="F11" s="1266">
        <f>4*'ARP Timing'!E12*VLOOKUP(F$1,'ARP Score'!$A$5:$M20,$A11)</f>
        <v>0</v>
      </c>
      <c r="G11" s="1266">
        <f>4*'ARP Timing'!F12*VLOOKUP(G$1,'ARP Score'!$A$5:$M20,$A11)</f>
        <v>0</v>
      </c>
      <c r="H11" s="1266">
        <f>4*'ARP Timing'!G12*VLOOKUP(H$1,'ARP Score'!$A$5:$M20,$A11)</f>
        <v>0</v>
      </c>
      <c r="I11" s="1266">
        <f>4*'ARP Timing'!H12*VLOOKUP(I$1,'ARP Score'!$A$5:$M20,$A11)</f>
        <v>0</v>
      </c>
      <c r="J11" s="1266">
        <f>4*'ARP Timing'!I12*VLOOKUP(J$1,'ARP Score'!$A$5:$M20,$A11)</f>
        <v>0</v>
      </c>
      <c r="K11" s="1266">
        <f>4*'ARP Timing'!J12*VLOOKUP(K$1,'ARP Score'!$A$5:$M20,$A11)</f>
        <v>0</v>
      </c>
      <c r="L11" s="1266">
        <f>4*'ARP Timing'!K12*VLOOKUP(L$1,'ARP Score'!$A$5:$M20,$A11)</f>
        <v>0</v>
      </c>
      <c r="M11" s="1266">
        <f>4*'ARP Timing'!L12*VLOOKUP(M$1,'ARP Score'!$A$5:$M20,$A11)</f>
        <v>0</v>
      </c>
      <c r="N11" s="1266">
        <f>4*'ARP Timing'!M12*VLOOKUP(N$1,'ARP Score'!$A$5:$M20,$A11)</f>
        <v>0</v>
      </c>
      <c r="O11" s="1266">
        <f>4*'ARP Timing'!N12*VLOOKUP(O$1,'ARP Score'!$A$5:$M20,$A11)</f>
        <v>0</v>
      </c>
      <c r="P11" s="1266">
        <f>4*'ARP Timing'!O12*VLOOKUP(P$1,'ARP Score'!$A$5:$M20,$A11)</f>
        <v>0</v>
      </c>
      <c r="Q11" s="1266">
        <f>4*'ARP Timing'!P12*VLOOKUP(Q$1,'ARP Score'!$A$5:$M20,$A11)</f>
        <v>0</v>
      </c>
      <c r="R11" s="1266">
        <f>4*'ARP Timing'!Q12*VLOOKUP(R$1,'ARP Score'!$A$5:$M20,$A11)</f>
        <v>0</v>
      </c>
      <c r="S11" s="1266">
        <f>4*'ARP Timing'!R12*VLOOKUP(S$1,'ARP Score'!$A$5:$M20,$A11)</f>
        <v>0</v>
      </c>
      <c r="T11" s="1266">
        <f>4*'ARP Timing'!S12*VLOOKUP(T$1,'ARP Score'!$A$5:$M20,$A11)</f>
        <v>0</v>
      </c>
      <c r="U11" s="1266">
        <f>4*'ARP Timing'!T12*VLOOKUP(U$1,'ARP Score'!$A$5:$M20,$A11)</f>
        <v>0</v>
      </c>
      <c r="V11" s="1266">
        <f>4*'ARP Timing'!U12*VLOOKUP(V$1,'ARP Score'!$A$5:$M20,$A11)</f>
        <v>0</v>
      </c>
      <c r="W11" s="1266">
        <f t="shared" si="0"/>
        <v>25.75</v>
      </c>
    </row>
    <row r="12" spans="1:23" x14ac:dyDescent="0.25">
      <c r="A12" s="753">
        <v>13</v>
      </c>
      <c r="B12" s="33" t="s">
        <v>109</v>
      </c>
      <c r="C12" s="1266">
        <f>4*'ARP Timing'!B13*VLOOKUP(C$1,'ARP Score'!$A$5:$M21,$A12)</f>
        <v>0</v>
      </c>
      <c r="D12" s="1266">
        <f>4*'ARP Timing'!C13*VLOOKUP(D$1,'ARP Score'!$A$5:$M21,$A12)</f>
        <v>51.102400000000003</v>
      </c>
      <c r="E12" s="1266">
        <f>4*'ARP Timing'!D13*VLOOKUP(E$1,'ARP Score'!$A$5:$M21,$A12)</f>
        <v>76.653599999999997</v>
      </c>
      <c r="F12" s="1266">
        <f>4*'ARP Timing'!E13*VLOOKUP(F$1,'ARP Score'!$A$5:$M21,$A12)</f>
        <v>90.260800000000003</v>
      </c>
      <c r="G12" s="1266">
        <f>4*'ARP Timing'!F13*VLOOKUP(G$1,'ARP Score'!$A$5:$M21,$A12)</f>
        <v>67.695599999999999</v>
      </c>
      <c r="H12" s="1266">
        <f>4*'ARP Timing'!G13*VLOOKUP(H$1,'ARP Score'!$A$5:$M21,$A12)</f>
        <v>45.130400000000002</v>
      </c>
      <c r="I12" s="1266">
        <f>4*'ARP Timing'!H13*VLOOKUP(I$1,'ARP Score'!$A$5:$M21,$A12)</f>
        <v>22.565200000000001</v>
      </c>
      <c r="J12" s="1266">
        <f>4*'ARP Timing'!I13*VLOOKUP(J$1,'ARP Score'!$A$5:$M21,$A12)</f>
        <v>15.652999999999999</v>
      </c>
      <c r="K12" s="1266">
        <f>4*'ARP Timing'!J13*VLOOKUP(K$1,'ARP Score'!$A$5:$M21,$A12)</f>
        <v>15.652999999999999</v>
      </c>
      <c r="L12" s="1266">
        <f>4*'ARP Timing'!K13*VLOOKUP(L$1,'ARP Score'!$A$5:$M21,$A12)</f>
        <v>15.652999999999999</v>
      </c>
      <c r="M12" s="1266">
        <f>4*'ARP Timing'!L13*VLOOKUP(M$1,'ARP Score'!$A$5:$M21,$A12)</f>
        <v>15.652999999999999</v>
      </c>
      <c r="N12" s="1266">
        <f>4*'ARP Timing'!M13*VLOOKUP(N$1,'ARP Score'!$A$5:$M21,$A12)</f>
        <v>3.9320000000000004</v>
      </c>
      <c r="O12" s="1266">
        <f>4*'ARP Timing'!N13*VLOOKUP(O$1,'ARP Score'!$A$5:$M21,$A12)</f>
        <v>3.9320000000000004</v>
      </c>
      <c r="P12" s="1266">
        <f>4*'ARP Timing'!O13*VLOOKUP(P$1,'ARP Score'!$A$5:$M21,$A12)</f>
        <v>3.9320000000000004</v>
      </c>
      <c r="Q12" s="1266">
        <f>4*'ARP Timing'!P13*VLOOKUP(Q$1,'ARP Score'!$A$5:$M21,$A12)</f>
        <v>3.9320000000000004</v>
      </c>
      <c r="R12" s="1266">
        <f>4*'ARP Timing'!Q13*VLOOKUP(R$1,'ARP Score'!$A$5:$M21,$A12)</f>
        <v>-0.74299999999999988</v>
      </c>
      <c r="S12" s="1266">
        <f>4*'ARP Timing'!R13*VLOOKUP(S$1,'ARP Score'!$A$5:$M21,$A12)</f>
        <v>-0.74299999999999988</v>
      </c>
      <c r="T12" s="1266">
        <f>4*'ARP Timing'!S13*VLOOKUP(T$1,'ARP Score'!$A$5:$M21,$A12)</f>
        <v>-0.74299999999999988</v>
      </c>
      <c r="U12" s="1266">
        <f>4*'ARP Timing'!T13*VLOOKUP(U$1,'ARP Score'!$A$5:$M21,$A12)</f>
        <v>-0.74299999999999988</v>
      </c>
      <c r="V12" s="1266">
        <f>4*'ARP Timing'!U13*VLOOKUP(V$1,'ARP Score'!$A$5:$M21,$A12)</f>
        <v>-21.606000000000002</v>
      </c>
      <c r="W12" s="1266">
        <f t="shared" si="0"/>
        <v>107.19400000000005</v>
      </c>
    </row>
    <row r="13" spans="1:23" x14ac:dyDescent="0.25">
      <c r="A13" s="753">
        <v>15</v>
      </c>
      <c r="B13" s="753" t="s">
        <v>772</v>
      </c>
      <c r="C13" s="1266">
        <f>0.3*'ARP Score'!$N5*4*'ARP Timing'!B6</f>
        <v>0</v>
      </c>
      <c r="D13" s="1266">
        <f>0.3*'ARP Score'!$N5*4*'ARP Timing'!C6</f>
        <v>1.7544</v>
      </c>
      <c r="E13" s="1266">
        <f>0.3*'ARP Score'!$N5*4*'ARP Timing'!D6</f>
        <v>2.3255999999999997</v>
      </c>
      <c r="F13" s="1266">
        <f>0.3*'ARP Score'!$N6*4*'ARP Timing'!E6</f>
        <v>1.5299999999999998</v>
      </c>
      <c r="G13" s="1266">
        <f>0.3*'ARP Score'!$N6*4*'ARP Timing'!F6</f>
        <v>1.5299999999999998</v>
      </c>
      <c r="H13" s="1266">
        <f>0.3*'ARP Score'!$N6*4*'ARP Timing'!G6</f>
        <v>1.5299999999999998</v>
      </c>
      <c r="I13" s="1266">
        <f>0.3*'ARP Score'!$N6*4*'ARP Timing'!H6</f>
        <v>1.5299999999999998</v>
      </c>
      <c r="J13" s="1266">
        <f>0.3*'ARP Score'!$N7*4*'ARP Timing'!I6</f>
        <v>0</v>
      </c>
      <c r="K13" s="1266">
        <f>0.3*'ARP Score'!$N7*4*'ARP Timing'!J6</f>
        <v>0</v>
      </c>
      <c r="L13" s="1266">
        <f>0.3*'ARP Score'!$N7*4*'ARP Timing'!K6</f>
        <v>0</v>
      </c>
      <c r="M13" s="1266">
        <f>0.3*'ARP Score'!$N7*4*'ARP Timing'!L6</f>
        <v>0</v>
      </c>
      <c r="N13" s="1266">
        <f>0.3*'ARP Score'!$N7*4*'ARP Timing'!M6</f>
        <v>0</v>
      </c>
      <c r="O13" s="1266">
        <f>0.3*'ARP Score'!$N7*4*'ARP Timing'!N6</f>
        <v>0</v>
      </c>
      <c r="P13" s="1266">
        <f>0.3*'ARP Score'!$N7*4*'ARP Timing'!O6</f>
        <v>0</v>
      </c>
      <c r="Q13" s="1266">
        <f>0.3*'ARP Score'!$N7*4*'ARP Timing'!P6</f>
        <v>0</v>
      </c>
      <c r="R13" s="1266">
        <f>0.3*'ARP Score'!$N7*4*'ARP Timing'!Q6</f>
        <v>0</v>
      </c>
      <c r="S13" s="1266">
        <f>0.3*'ARP Score'!$N7*4*'ARP Timing'!R6</f>
        <v>0</v>
      </c>
      <c r="T13" s="1266">
        <f>0.3*'ARP Score'!$N7*4*'ARP Timing'!S6</f>
        <v>0</v>
      </c>
      <c r="U13" s="1266">
        <f>0.3*'ARP Score'!$N7*4*'ARP Timing'!T6</f>
        <v>0</v>
      </c>
      <c r="V13" s="1266">
        <f>0.3*'ARP Score'!$N7*4*'ARP Timing'!U6</f>
        <v>0</v>
      </c>
      <c r="W13" s="1266">
        <f t="shared" si="0"/>
        <v>2.5499999999999994</v>
      </c>
    </row>
    <row r="14" spans="1:23" x14ac:dyDescent="0.25">
      <c r="A14" s="753">
        <v>14</v>
      </c>
      <c r="B14" s="753" t="s">
        <v>773</v>
      </c>
      <c r="C14" s="1266">
        <f>C13/0.3*0.2</f>
        <v>0</v>
      </c>
      <c r="D14" s="1266">
        <f t="shared" ref="D14:F14" si="1">D13/0.3*0.2</f>
        <v>1.1696</v>
      </c>
      <c r="E14" s="1266">
        <f t="shared" si="1"/>
        <v>1.5503999999999998</v>
      </c>
      <c r="F14" s="1266">
        <f t="shared" si="1"/>
        <v>1.02</v>
      </c>
      <c r="G14" s="1266">
        <f t="shared" ref="G14" si="2">G13/0.3*0.2</f>
        <v>1.02</v>
      </c>
      <c r="H14" s="1266">
        <f t="shared" ref="H14" si="3">H13/0.3*0.2</f>
        <v>1.02</v>
      </c>
      <c r="I14" s="1266">
        <f t="shared" ref="I14" si="4">I13/0.3*0.2</f>
        <v>1.02</v>
      </c>
      <c r="J14" s="1266">
        <f t="shared" ref="J14" si="5">J13/0.3*0.2</f>
        <v>0</v>
      </c>
      <c r="K14" s="1266">
        <f t="shared" ref="K14" si="6">K13/0.3*0.2</f>
        <v>0</v>
      </c>
      <c r="L14" s="1266">
        <f t="shared" ref="L14" si="7">L13/0.3*0.2</f>
        <v>0</v>
      </c>
      <c r="M14" s="1266">
        <f t="shared" ref="M14" si="8">M13/0.3*0.2</f>
        <v>0</v>
      </c>
      <c r="N14" s="1266">
        <f t="shared" ref="N14" si="9">N13/0.3*0.2</f>
        <v>0</v>
      </c>
      <c r="O14" s="1266">
        <f t="shared" ref="O14" si="10">O13/0.3*0.2</f>
        <v>0</v>
      </c>
      <c r="P14" s="1266">
        <f t="shared" ref="P14" si="11">P13/0.3*0.2</f>
        <v>0</v>
      </c>
      <c r="Q14" s="1266">
        <f t="shared" ref="Q14" si="12">Q13/0.3*0.2</f>
        <v>0</v>
      </c>
      <c r="R14" s="1266">
        <f t="shared" ref="R14" si="13">R13/0.3*0.2</f>
        <v>0</v>
      </c>
      <c r="S14" s="1266">
        <f t="shared" ref="S14" si="14">S13/0.3*0.2</f>
        <v>0</v>
      </c>
      <c r="T14" s="1266">
        <f t="shared" ref="T14" si="15">T13/0.3*0.2</f>
        <v>0</v>
      </c>
      <c r="U14" s="1266">
        <f t="shared" ref="U14" si="16">U13/0.3*0.2</f>
        <v>0</v>
      </c>
      <c r="V14" s="1266">
        <f t="shared" ref="V14" si="17">V13/0.3*0.2</f>
        <v>0</v>
      </c>
      <c r="W14" s="1266">
        <f t="shared" si="0"/>
        <v>1.6999999999999997</v>
      </c>
    </row>
    <row r="15" spans="1:23" x14ac:dyDescent="0.25">
      <c r="A15" s="753">
        <v>14</v>
      </c>
      <c r="B15" s="753" t="s">
        <v>471</v>
      </c>
      <c r="C15" s="1266">
        <f>C14/0.2*0.5</f>
        <v>0</v>
      </c>
      <c r="D15" s="1266">
        <f t="shared" ref="D15:F15" si="18">D14/0.2*0.5</f>
        <v>2.9239999999999999</v>
      </c>
      <c r="E15" s="1266">
        <f t="shared" si="18"/>
        <v>3.8759999999999994</v>
      </c>
      <c r="F15" s="1266">
        <f t="shared" si="18"/>
        <v>2.5499999999999998</v>
      </c>
      <c r="G15" s="1266">
        <f t="shared" ref="G15" si="19">G14/0.2*0.5</f>
        <v>2.5499999999999998</v>
      </c>
      <c r="H15" s="1266">
        <f t="shared" ref="H15" si="20">H14/0.2*0.5</f>
        <v>2.5499999999999998</v>
      </c>
      <c r="I15" s="1266">
        <f t="shared" ref="I15" si="21">I14/0.2*0.5</f>
        <v>2.5499999999999998</v>
      </c>
      <c r="J15" s="1266">
        <f t="shared" ref="J15" si="22">J14/0.2*0.5</f>
        <v>0</v>
      </c>
      <c r="K15" s="1266">
        <f t="shared" ref="K15" si="23">K14/0.2*0.5</f>
        <v>0</v>
      </c>
      <c r="L15" s="1266">
        <f t="shared" ref="L15" si="24">L14/0.2*0.5</f>
        <v>0</v>
      </c>
      <c r="M15" s="1266">
        <f t="shared" ref="M15" si="25">M14/0.2*0.5</f>
        <v>0</v>
      </c>
      <c r="N15" s="1266">
        <f t="shared" ref="N15" si="26">N14/0.2*0.5</f>
        <v>0</v>
      </c>
      <c r="O15" s="1266">
        <f t="shared" ref="O15" si="27">O14/0.2*0.5</f>
        <v>0</v>
      </c>
      <c r="P15" s="1266">
        <f t="shared" ref="P15" si="28">P14/0.2*0.5</f>
        <v>0</v>
      </c>
      <c r="Q15" s="1266">
        <f t="shared" ref="Q15" si="29">Q14/0.2*0.5</f>
        <v>0</v>
      </c>
      <c r="R15" s="1266">
        <f t="shared" ref="R15" si="30">R14/0.2*0.5</f>
        <v>0</v>
      </c>
      <c r="S15" s="1266">
        <f t="shared" ref="S15" si="31">S14/0.2*0.5</f>
        <v>0</v>
      </c>
      <c r="T15" s="1266">
        <f t="shared" ref="T15" si="32">T14/0.2*0.5</f>
        <v>0</v>
      </c>
      <c r="U15" s="1266">
        <f t="shared" ref="U15" si="33">U14/0.2*0.5</f>
        <v>0</v>
      </c>
      <c r="V15" s="1266">
        <f t="shared" ref="V15" si="34">V14/0.2*0.5</f>
        <v>0</v>
      </c>
      <c r="W15" s="1266">
        <f t="shared" si="0"/>
        <v>4.25</v>
      </c>
    </row>
    <row r="16" spans="1:23" x14ac:dyDescent="0.25">
      <c r="C16" s="1266"/>
      <c r="D16" s="1266"/>
      <c r="E16" s="1266"/>
      <c r="F16" s="1266"/>
      <c r="G16" s="1266"/>
      <c r="H16" s="1266"/>
      <c r="I16" s="1266"/>
      <c r="J16" s="1266"/>
      <c r="K16" s="1266"/>
      <c r="L16" s="1266"/>
      <c r="M16" s="1266"/>
      <c r="N16" s="1266"/>
      <c r="O16" s="1266"/>
      <c r="P16" s="1266"/>
      <c r="Q16" s="1266"/>
      <c r="R16" s="1266"/>
      <c r="S16" s="1266"/>
      <c r="T16" s="1266"/>
      <c r="U16" s="1266"/>
      <c r="V16" s="1266"/>
      <c r="W16" s="1266"/>
    </row>
    <row r="17" spans="1:23" x14ac:dyDescent="0.25">
      <c r="A17" s="753" t="s">
        <v>774</v>
      </c>
      <c r="C17" s="1266"/>
      <c r="D17" s="1266"/>
      <c r="E17" s="1266"/>
      <c r="F17" s="1266"/>
      <c r="G17" s="1266"/>
      <c r="H17" s="1266"/>
      <c r="I17" s="1266"/>
      <c r="J17" s="1266"/>
      <c r="K17" s="1266"/>
      <c r="L17" s="1266"/>
      <c r="M17" s="1266"/>
      <c r="N17" s="1266"/>
      <c r="O17" s="1266"/>
      <c r="P17" s="1266"/>
      <c r="Q17" s="1266"/>
      <c r="R17" s="1266"/>
      <c r="S17" s="1266"/>
      <c r="T17" s="1266"/>
      <c r="U17" s="1266"/>
      <c r="V17" s="1266"/>
      <c r="W17" s="1266"/>
    </row>
    <row r="18" spans="1:23" x14ac:dyDescent="0.25">
      <c r="B18" s="516" t="s">
        <v>143</v>
      </c>
      <c r="C18" s="1266">
        <f>'ARP Score'!$BG5/'ARP Score'!$G5*C6</f>
        <v>0</v>
      </c>
      <c r="D18" s="1266">
        <f>'ARP Score'!$BG5/'ARP Score'!$G5*D6</f>
        <v>2.2132800000000001</v>
      </c>
      <c r="E18" s="1266">
        <f>'ARP Score'!$BG5/'ARP Score'!$G5*E6</f>
        <v>10.082720000000002</v>
      </c>
      <c r="F18" s="1266">
        <f>'ARP Score'!$BG6/'ARP Score'!$G6*F6</f>
        <v>7.1439999999999992</v>
      </c>
      <c r="G18" s="1266">
        <f>'ARP Score'!$BG6/'ARP Score'!$G6*G6</f>
        <v>7.1439999999999992</v>
      </c>
      <c r="H18" s="1266">
        <f>'ARP Score'!$BG6/'ARP Score'!$G6*H6</f>
        <v>7.1439999999999992</v>
      </c>
      <c r="I18" s="1266">
        <f>'ARP Score'!$BG6/'ARP Score'!$G6*I6</f>
        <v>7.1439999999999992</v>
      </c>
      <c r="J18" s="1266">
        <f>'ARP Score'!$BG7/'ARP Score'!$G7*J6</f>
        <v>0</v>
      </c>
      <c r="K18" s="1266">
        <f>'ARP Score'!$BG7/'ARP Score'!$G7*K6</f>
        <v>0</v>
      </c>
      <c r="L18" s="1266">
        <f>'ARP Score'!$BG7/'ARP Score'!$G7*L6</f>
        <v>0</v>
      </c>
      <c r="M18" s="1266">
        <f>'ARP Score'!$BG7/'ARP Score'!$G7*M6</f>
        <v>0</v>
      </c>
      <c r="N18" s="1266"/>
      <c r="O18" s="1266"/>
      <c r="P18" s="1266"/>
      <c r="Q18" s="1266"/>
      <c r="R18" s="1266"/>
      <c r="S18" s="1266"/>
      <c r="T18" s="1266"/>
      <c r="U18" s="1266"/>
      <c r="V18" s="1266"/>
      <c r="W18" s="1266"/>
    </row>
    <row r="19" spans="1:23" x14ac:dyDescent="0.25">
      <c r="B19" s="516" t="s">
        <v>775</v>
      </c>
      <c r="C19" s="1266">
        <f>'ARP Score'!$BI5/'ARP Score'!$G5*C6</f>
        <v>0</v>
      </c>
      <c r="D19" s="1266">
        <f>'ARP Score'!$BI5/'ARP Score'!$G5*D6</f>
        <v>15.128640000000001</v>
      </c>
      <c r="E19" s="1266">
        <f>'ARP Score'!$BI5/'ARP Score'!$G5*E6</f>
        <v>68.919360000000012</v>
      </c>
      <c r="F19" s="1266">
        <f>'ARP Score'!$BI6/'ARP Score'!$G6*F6</f>
        <v>5.6120000000000001</v>
      </c>
      <c r="G19" s="1266">
        <f>'ARP Score'!$BI6/'ARP Score'!$G6*G6</f>
        <v>5.6120000000000001</v>
      </c>
      <c r="H19" s="1266">
        <f>'ARP Score'!$BI6/'ARP Score'!$G6*H6</f>
        <v>5.6120000000000001</v>
      </c>
      <c r="I19" s="1266">
        <f>'ARP Score'!$BI6/'ARP Score'!$G6*I6</f>
        <v>5.6120000000000001</v>
      </c>
      <c r="J19" s="1266">
        <f>'ARP Score'!$B7/'ARP Score'!$G7*J6</f>
        <v>0.48599999999999993</v>
      </c>
      <c r="K19" s="1266">
        <f>'ARP Score'!$B7/'ARP Score'!$G7*K6</f>
        <v>0.48599999999999993</v>
      </c>
      <c r="L19" s="1266">
        <f>'ARP Score'!$B7/'ARP Score'!$G7*L6</f>
        <v>0.48599999999999993</v>
      </c>
      <c r="M19" s="1266">
        <f>'ARP Score'!$B7/'ARP Score'!$G7*M6</f>
        <v>0.48599999999999993</v>
      </c>
      <c r="N19" s="1266">
        <f>'ARP Score'!$B8/'ARP Score'!$G8*N6</f>
        <v>0</v>
      </c>
      <c r="O19" s="1266"/>
      <c r="P19" s="1266"/>
      <c r="Q19" s="1266"/>
      <c r="R19" s="1266"/>
      <c r="S19" s="1266"/>
      <c r="T19" s="1266"/>
      <c r="U19" s="1266"/>
      <c r="V19" s="1266"/>
      <c r="W19" s="1266"/>
    </row>
    <row r="20" spans="1:23" x14ac:dyDescent="0.25">
      <c r="B20" s="516" t="s">
        <v>148</v>
      </c>
      <c r="C20" s="1266">
        <f>'ARP Score'!$BF5/'ARP Score'!$G5*C6</f>
        <v>0</v>
      </c>
      <c r="D20" s="1266">
        <f>'ARP Score'!$BF5/'ARP Score'!$G5*D6</f>
        <v>3.2479199999999997</v>
      </c>
      <c r="E20" s="1266">
        <f>'ARP Score'!$BF5/'ARP Score'!$G5*E6</f>
        <v>14.796080000000002</v>
      </c>
      <c r="F20" s="1266">
        <f>'ARP Score'!$BF6/'ARP Score'!$G6*F6</f>
        <v>1.7329999999999999</v>
      </c>
      <c r="G20" s="1266">
        <f>'ARP Score'!$BF6/'ARP Score'!$G6*G6</f>
        <v>1.7329999999999999</v>
      </c>
      <c r="H20" s="1266">
        <f>'ARP Score'!$BF6/'ARP Score'!$G6*H6</f>
        <v>1.7329999999999999</v>
      </c>
      <c r="I20" s="1266">
        <f>'ARP Score'!$BF6/'ARP Score'!$G6*I6</f>
        <v>1.7329999999999999</v>
      </c>
      <c r="J20" s="1266">
        <f>'ARP Score'!$BF7/'ARP Score'!$G7*J6</f>
        <v>0</v>
      </c>
      <c r="K20" s="1266">
        <f>'ARP Score'!$BF7/'ARP Score'!$G7*K6</f>
        <v>0</v>
      </c>
      <c r="L20" s="1266">
        <f>'ARP Score'!$BF7/'ARP Score'!$G7*L6</f>
        <v>0</v>
      </c>
      <c r="M20" s="1266">
        <f>'ARP Score'!$BF7/'ARP Score'!$G7*M6</f>
        <v>0</v>
      </c>
      <c r="N20" s="1266"/>
      <c r="O20" s="1266"/>
      <c r="P20" s="1266"/>
      <c r="Q20" s="1266"/>
      <c r="R20" s="1266"/>
      <c r="S20" s="1266"/>
      <c r="T20" s="1266"/>
      <c r="U20" s="1266"/>
      <c r="V20" s="1266"/>
      <c r="W20" s="1266"/>
    </row>
    <row r="21" spans="1:23" x14ac:dyDescent="0.25">
      <c r="B21" s="1272" t="s">
        <v>414</v>
      </c>
      <c r="C21" s="1266">
        <f>15/40*(C6*'ARP Score'!$BD5/'ARP Score'!$G5)</f>
        <v>0</v>
      </c>
      <c r="D21" s="1266">
        <f>15/40*(D6*('ARP Score'!$BD5+'ARP Score'!$BE5)/'ARP Score'!$G5)</f>
        <v>13.2921</v>
      </c>
      <c r="E21" s="1266">
        <f>15/40*(E6*('ARP Score'!$BD5+'ARP Score'!$BE5)/'ARP Score'!$G5)</f>
        <v>60.552900000000008</v>
      </c>
      <c r="F21" s="1266">
        <f>15/40*(F6*('ARP Score'!$BD6+'ARP Score'!$BE6)/'ARP Score'!$G6)</f>
        <v>1.0687500000000001</v>
      </c>
      <c r="G21" s="1266">
        <f>15/40*(G6*('ARP Score'!$BD6+'ARP Score'!$BE6)/'ARP Score'!$G6)</f>
        <v>1.0687500000000001</v>
      </c>
      <c r="H21" s="1266">
        <f>15/40*(H6*('ARP Score'!$BD6+'ARP Score'!$BE6)/'ARP Score'!$G6)</f>
        <v>1.0687500000000001</v>
      </c>
      <c r="I21" s="1266">
        <f>15/40*(I6*('ARP Score'!$BD6+'ARP Score'!$BE6)/'ARP Score'!$G6)</f>
        <v>1.0687500000000001</v>
      </c>
      <c r="J21" s="1266">
        <f>15/40*(J6*('ARP Score'!$BD7+'ARP Score'!$BE7)/'ARP Score'!$G7)</f>
        <v>0.78750000000000009</v>
      </c>
      <c r="K21" s="1266">
        <f>15/40*(K6*('ARP Score'!$BD7+'ARP Score'!$BE7)/'ARP Score'!$G7)</f>
        <v>0.78750000000000009</v>
      </c>
      <c r="L21" s="1266">
        <f>15/40*(L6*('ARP Score'!$BD7+'ARP Score'!$BE7)/'ARP Score'!$G7)</f>
        <v>0.78750000000000009</v>
      </c>
      <c r="M21" s="1266">
        <f>15/40*(M6*('ARP Score'!$BD7+'ARP Score'!$BE7)/'ARP Score'!$G7)</f>
        <v>0.78750000000000009</v>
      </c>
      <c r="N21" s="1266"/>
      <c r="O21" s="1266"/>
      <c r="P21" s="1266"/>
      <c r="Q21" s="1266"/>
      <c r="R21" s="1266"/>
      <c r="S21" s="1266"/>
      <c r="T21" s="1266"/>
      <c r="U21" s="1266"/>
      <c r="V21" s="1266"/>
      <c r="W21" s="1266"/>
    </row>
    <row r="22" spans="1:23" x14ac:dyDescent="0.25">
      <c r="B22" s="1272" t="s">
        <v>776</v>
      </c>
      <c r="C22" s="1266"/>
      <c r="D22" s="1266">
        <f>D21/15*25</f>
        <v>22.153499999999998</v>
      </c>
      <c r="E22" s="1266">
        <f>E21/15*25</f>
        <v>100.92150000000002</v>
      </c>
      <c r="F22" s="1266">
        <f>F21/15*25</f>
        <v>1.7812500000000002</v>
      </c>
      <c r="G22" s="1266">
        <f>G21/15*25</f>
        <v>1.7812500000000002</v>
      </c>
      <c r="H22" s="1266">
        <f t="shared" ref="H22:J22" si="35">H21/15*25</f>
        <v>1.7812500000000002</v>
      </c>
      <c r="I22" s="1266">
        <f t="shared" si="35"/>
        <v>1.7812500000000002</v>
      </c>
      <c r="J22" s="1266">
        <f t="shared" si="35"/>
        <v>1.3125000000000002</v>
      </c>
      <c r="K22" s="1266">
        <f t="shared" ref="K22" si="36">K21/15*25</f>
        <v>1.3125000000000002</v>
      </c>
      <c r="L22" s="1266">
        <f t="shared" ref="L22" si="37">L21/15*25</f>
        <v>1.3125000000000002</v>
      </c>
      <c r="M22" s="1266">
        <f t="shared" ref="M22" si="38">M21/15*25</f>
        <v>1.3125000000000002</v>
      </c>
      <c r="N22" s="1266"/>
      <c r="O22" s="1266"/>
      <c r="P22" s="1266"/>
      <c r="Q22" s="1266"/>
      <c r="R22" s="1266"/>
      <c r="S22" s="1266"/>
      <c r="T22" s="1266"/>
      <c r="U22" s="1266"/>
      <c r="V22" s="1266"/>
      <c r="W22" s="1266"/>
    </row>
    <row r="23" spans="1:23" x14ac:dyDescent="0.25">
      <c r="B23" s="516" t="s">
        <v>426</v>
      </c>
      <c r="C23" s="1266">
        <f>'ARP Score'!$BB5/'ARP Score'!$G5*C6</f>
        <v>0</v>
      </c>
      <c r="D23" s="1266">
        <f>'ARP Score'!$BB5/'ARP Score'!$G5*D6</f>
        <v>2.9519999999999995</v>
      </c>
      <c r="E23" s="1266">
        <f>'ARP Score'!$BB5/'ARP Score'!$G5*E6</f>
        <v>13.448</v>
      </c>
      <c r="F23" s="1266">
        <f>'ARP Score'!$BB6/'ARP Score'!$G6*F6</f>
        <v>11.3</v>
      </c>
      <c r="G23" s="1266">
        <f>'ARP Score'!$BB6/'ARP Score'!$G6*G6</f>
        <v>11.3</v>
      </c>
      <c r="H23" s="1266">
        <f>'ARP Score'!$BB6/'ARP Score'!$G6*H6</f>
        <v>11.3</v>
      </c>
      <c r="I23" s="1266">
        <f>'ARP Score'!$BB6/'ARP Score'!$G6*I6</f>
        <v>11.3</v>
      </c>
      <c r="J23" s="1266">
        <f>'ARP Score'!$BB7/'ARP Score'!$G7*J6</f>
        <v>8.4</v>
      </c>
      <c r="K23" s="1266">
        <f>'ARP Score'!$BB7/'ARP Score'!$G7*K6</f>
        <v>8.4</v>
      </c>
      <c r="L23" s="1266">
        <f>'ARP Score'!$BB7/'ARP Score'!$G7*L6</f>
        <v>8.4</v>
      </c>
      <c r="M23" s="1266">
        <f>'ARP Score'!$BB7/'ARP Score'!$G7*M6</f>
        <v>8.4</v>
      </c>
      <c r="N23" s="1266">
        <f>'ARP Score'!$BB8/'ARP Score'!$G8*N6</f>
        <v>0.2</v>
      </c>
      <c r="O23" s="1266">
        <f>'ARP Score'!$BB8/'ARP Score'!$G8*O6</f>
        <v>0.2</v>
      </c>
      <c r="P23" s="1266">
        <f>'ARP Score'!$BB8/'ARP Score'!$G8*P6</f>
        <v>0.2</v>
      </c>
      <c r="Q23" s="1266">
        <f>'ARP Score'!$BB8/'ARP Score'!$G8*Q6</f>
        <v>0.2</v>
      </c>
      <c r="R23" s="1266"/>
      <c r="S23" s="1266"/>
      <c r="T23" s="1266"/>
      <c r="U23" s="1266"/>
      <c r="V23" s="1266"/>
      <c r="W23" s="1266"/>
    </row>
    <row r="24" spans="1:23" x14ac:dyDescent="0.25">
      <c r="B24" s="516" t="s">
        <v>427</v>
      </c>
      <c r="C24" s="1266">
        <f>'ARP Score'!$BH5/'ARP Score'!$G5*C6</f>
        <v>0</v>
      </c>
      <c r="D24" s="1266">
        <f>'ARP Score'!$BH5/'ARP Score'!$G5*D6</f>
        <v>-0.20447999999999997</v>
      </c>
      <c r="E24" s="1266">
        <f>'ARP Score'!$BH5/'ARP Score'!$G5*E6</f>
        <v>-0.93152000000000001</v>
      </c>
      <c r="F24" s="1266">
        <f>'ARP Score'!$BH6/'ARP Score'!$G6*F6</f>
        <v>81.608999999999995</v>
      </c>
      <c r="G24" s="1266">
        <f>'ARP Score'!$BH6/'ARP Score'!$G6*G6</f>
        <v>81.608999999999995</v>
      </c>
      <c r="H24" s="1266">
        <f>'ARP Score'!$BH6/'ARP Score'!$G6*H6</f>
        <v>81.608999999999995</v>
      </c>
      <c r="I24" s="1266">
        <f>'ARP Score'!$BH6/'ARP Score'!$G6*I6</f>
        <v>81.608999999999995</v>
      </c>
      <c r="J24" s="1266">
        <f>'ARP Score'!$BH7/'ARP Score'!$G7*J6</f>
        <v>1.3759999999999999</v>
      </c>
      <c r="K24" s="1266">
        <f>'ARP Score'!$BH7/'ARP Score'!$G7*K6</f>
        <v>1.3759999999999999</v>
      </c>
      <c r="L24" s="1266">
        <f>'ARP Score'!$BH7/'ARP Score'!$G7*L6</f>
        <v>1.3759999999999999</v>
      </c>
      <c r="M24" s="1266">
        <f>'ARP Score'!$BH7/'ARP Score'!$G7*M6</f>
        <v>1.3759999999999999</v>
      </c>
      <c r="N24" s="1266">
        <f>'ARP Score'!$BH8/'ARP Score'!$G8*N6</f>
        <v>-0.87500000000000011</v>
      </c>
      <c r="O24" s="1266">
        <f>'ARP Score'!$BH8/'ARP Score'!$G8*O6</f>
        <v>-0.87500000000000011</v>
      </c>
      <c r="P24" s="1266">
        <f>'ARP Score'!$BH8/'ARP Score'!$G8*P6</f>
        <v>-0.87500000000000011</v>
      </c>
      <c r="Q24" s="1266">
        <f>'ARP Score'!$BH8/'ARP Score'!$G8*Q6</f>
        <v>-0.87500000000000011</v>
      </c>
      <c r="R24" s="1266"/>
      <c r="S24" s="1266"/>
      <c r="T24" s="1266"/>
      <c r="U24" s="1266"/>
      <c r="V24" s="1266"/>
      <c r="W24" s="1266"/>
    </row>
    <row r="25" spans="1:23" x14ac:dyDescent="0.25">
      <c r="B25" s="516" t="s">
        <v>312</v>
      </c>
      <c r="C25" s="1266">
        <f>SUM(C18:C24)</f>
        <v>0</v>
      </c>
      <c r="D25" s="1266">
        <f t="shared" ref="D25:Q25" si="39">SUM(D18:D24)</f>
        <v>58.782959999999996</v>
      </c>
      <c r="E25" s="1266">
        <f t="shared" si="39"/>
        <v>267.78904000000006</v>
      </c>
      <c r="F25" s="1266">
        <f t="shared" si="39"/>
        <v>110.24799999999999</v>
      </c>
      <c r="G25" s="1266">
        <f t="shared" si="39"/>
        <v>110.24799999999999</v>
      </c>
      <c r="H25" s="1266">
        <f t="shared" si="39"/>
        <v>110.24799999999999</v>
      </c>
      <c r="I25" s="1266">
        <f t="shared" si="39"/>
        <v>110.24799999999999</v>
      </c>
      <c r="J25" s="1266">
        <f t="shared" si="39"/>
        <v>12.362</v>
      </c>
      <c r="K25" s="1266">
        <f t="shared" si="39"/>
        <v>12.362</v>
      </c>
      <c r="L25" s="1266">
        <f t="shared" si="39"/>
        <v>12.362</v>
      </c>
      <c r="M25" s="1266">
        <f t="shared" si="39"/>
        <v>12.362</v>
      </c>
      <c r="N25" s="1266">
        <f t="shared" si="39"/>
        <v>-0.67500000000000004</v>
      </c>
      <c r="O25" s="1266">
        <f t="shared" si="39"/>
        <v>-0.67500000000000004</v>
      </c>
      <c r="P25" s="1266">
        <f t="shared" si="39"/>
        <v>-0.67500000000000004</v>
      </c>
      <c r="Q25" s="1266">
        <f t="shared" si="39"/>
        <v>-0.67500000000000004</v>
      </c>
      <c r="R25" s="1266"/>
      <c r="S25" s="1266"/>
      <c r="T25" s="1266"/>
      <c r="U25" s="1266"/>
      <c r="V25" s="1266"/>
      <c r="W25" s="1266"/>
    </row>
    <row r="26" spans="1:23" x14ac:dyDescent="0.25">
      <c r="D26" s="755">
        <f>D6-D25</f>
        <v>0</v>
      </c>
      <c r="E26" s="755">
        <f t="shared" ref="E26:M26" si="40">E6-E25</f>
        <v>0</v>
      </c>
      <c r="F26" s="755">
        <f t="shared" si="40"/>
        <v>0</v>
      </c>
      <c r="G26" s="755">
        <f t="shared" si="40"/>
        <v>0</v>
      </c>
      <c r="H26" s="755">
        <f t="shared" si="40"/>
        <v>0</v>
      </c>
      <c r="I26" s="755">
        <f t="shared" si="40"/>
        <v>0</v>
      </c>
      <c r="J26" s="755">
        <f t="shared" si="40"/>
        <v>0.36400000000000077</v>
      </c>
      <c r="K26" s="755">
        <f t="shared" si="40"/>
        <v>0.36400000000000077</v>
      </c>
      <c r="L26" s="755">
        <f t="shared" si="40"/>
        <v>0.36400000000000077</v>
      </c>
      <c r="M26" s="755">
        <f t="shared" si="40"/>
        <v>0.36400000000000077</v>
      </c>
    </row>
    <row r="27" spans="1:23" x14ac:dyDescent="0.25">
      <c r="B27" s="753" t="s">
        <v>777</v>
      </c>
      <c r="D27" s="634" t="s">
        <v>251</v>
      </c>
      <c r="E27" s="634" t="s">
        <v>180</v>
      </c>
      <c r="F27" s="634" t="s">
        <v>181</v>
      </c>
      <c r="G27" s="634" t="s">
        <v>182</v>
      </c>
      <c r="H27" s="634" t="s">
        <v>183</v>
      </c>
      <c r="I27" s="634" t="s">
        <v>184</v>
      </c>
      <c r="J27" s="634" t="s">
        <v>185</v>
      </c>
      <c r="K27" s="634" t="s">
        <v>186</v>
      </c>
      <c r="L27" s="634" t="s">
        <v>187</v>
      </c>
      <c r="M27" s="634" t="s">
        <v>188</v>
      </c>
      <c r="N27" s="634" t="s">
        <v>189</v>
      </c>
      <c r="O27" s="634" t="s">
        <v>190</v>
      </c>
      <c r="P27" s="634" t="s">
        <v>191</v>
      </c>
      <c r="Q27" s="634" t="s">
        <v>175</v>
      </c>
      <c r="R27" s="634" t="s">
        <v>176</v>
      </c>
      <c r="S27" s="634" t="s">
        <v>177</v>
      </c>
      <c r="T27" s="634" t="s">
        <v>768</v>
      </c>
      <c r="U27" s="634" t="s">
        <v>769</v>
      </c>
      <c r="V27" s="634" t="s">
        <v>770</v>
      </c>
    </row>
    <row r="28" spans="1:23" x14ac:dyDescent="0.25">
      <c r="B28" s="33"/>
      <c r="C28" s="755" t="s">
        <v>312</v>
      </c>
      <c r="D28" s="1268">
        <f>SUM(D29:D43)</f>
        <v>5.8765000000000009</v>
      </c>
      <c r="E28" s="1268">
        <f t="shared" ref="E28:V28" si="41">SUM(E29:E43)</f>
        <v>11.753000000000002</v>
      </c>
      <c r="F28" s="1268">
        <f t="shared" si="41"/>
        <v>15.762320000000003</v>
      </c>
      <c r="G28" s="1268">
        <f t="shared" si="41"/>
        <v>19.771640000000005</v>
      </c>
      <c r="H28" s="1268">
        <f t="shared" si="41"/>
        <v>23.812229000000006</v>
      </c>
      <c r="I28" s="1268">
        <f t="shared" si="41"/>
        <v>27.852818000000006</v>
      </c>
      <c r="J28" s="1268">
        <f t="shared" si="41"/>
        <v>30.517977000000005</v>
      </c>
      <c r="K28" s="1268">
        <f t="shared" si="41"/>
        <v>33.183136000000005</v>
      </c>
      <c r="L28" s="1268">
        <f t="shared" si="41"/>
        <v>36.260924000000003</v>
      </c>
      <c r="M28" s="1268">
        <f t="shared" si="41"/>
        <v>39.338711999999994</v>
      </c>
      <c r="N28" s="1268">
        <f t="shared" si="41"/>
        <v>40.928439999999995</v>
      </c>
      <c r="O28" s="1268">
        <f t="shared" si="41"/>
        <v>42.518167999999996</v>
      </c>
      <c r="P28" s="1268">
        <f t="shared" si="41"/>
        <v>44.428388999999996</v>
      </c>
      <c r="Q28" s="1268">
        <f t="shared" si="41"/>
        <v>46.338610000000003</v>
      </c>
      <c r="R28" s="1268">
        <f t="shared" si="41"/>
        <v>47.279744500000007</v>
      </c>
      <c r="S28" s="1268">
        <f t="shared" si="41"/>
        <v>46.283419000000009</v>
      </c>
      <c r="T28" s="1268">
        <f t="shared" si="41"/>
        <v>45.578489500000011</v>
      </c>
      <c r="U28" s="1268">
        <f t="shared" si="41"/>
        <v>45.454798000000011</v>
      </c>
      <c r="V28" s="1268">
        <f t="shared" si="41"/>
        <v>45.360580000000013</v>
      </c>
    </row>
    <row r="29" spans="1:23" x14ac:dyDescent="0.25">
      <c r="A29" s="753">
        <v>2021</v>
      </c>
      <c r="B29" s="33" t="s">
        <v>778</v>
      </c>
      <c r="C29" s="755"/>
      <c r="D29" s="753">
        <f>($D$9+$D$10)*'ARP Timing'!B$16</f>
        <v>5.8765000000000009</v>
      </c>
      <c r="E29" s="753">
        <f>($D$9+$D$10)*'ARP Timing'!C$16</f>
        <v>5.8765000000000009</v>
      </c>
      <c r="F29" s="753">
        <f>($D$9+$D$10)*'ARP Timing'!D$16</f>
        <v>4.11355</v>
      </c>
      <c r="G29" s="753">
        <f>($D$9+$D$10)*'ARP Timing'!E$16</f>
        <v>4.11355</v>
      </c>
      <c r="H29" s="753">
        <f>($D$9+$D$10)*'ARP Timing'!F$16</f>
        <v>4.11355</v>
      </c>
      <c r="I29" s="753">
        <f>($D$9+$D$10)*'ARP Timing'!G$16</f>
        <v>4.11355</v>
      </c>
      <c r="J29" s="753">
        <f>($D$9+$D$10)*'ARP Timing'!H$16</f>
        <v>4.11355</v>
      </c>
      <c r="K29" s="753">
        <f>($D$9+$D$10)*'ARP Timing'!I$16</f>
        <v>4.11355</v>
      </c>
      <c r="L29" s="753">
        <f>($D$9+$D$10)*'ARP Timing'!J$16</f>
        <v>4.11355</v>
      </c>
      <c r="M29" s="753">
        <f>($D$9+$D$10)*'ARP Timing'!K$16</f>
        <v>4.11355</v>
      </c>
      <c r="N29" s="753">
        <f>($D$9+$D$10)*'ARP Timing'!L$16</f>
        <v>4.11355</v>
      </c>
      <c r="O29" s="753">
        <f>($D$9+$D$10)*'ARP Timing'!M$16</f>
        <v>4.11355</v>
      </c>
      <c r="P29" s="753">
        <f>($D$9+$D$10)*'ARP Timing'!N$16</f>
        <v>3.987625</v>
      </c>
      <c r="Q29" s="753">
        <f>($D$9+$D$10)*'ARP Timing'!O$16</f>
        <v>3.987625</v>
      </c>
      <c r="R29" s="753">
        <f>($D$9+$D$10)*'ARP Timing'!P$16</f>
        <v>3.987625</v>
      </c>
      <c r="S29" s="753">
        <f>($D$9+$D$10)*'ARP Timing'!Q$16</f>
        <v>3.987625</v>
      </c>
      <c r="T29" s="753">
        <f>($D$9+$D$10)*'ARP Timing'!R$16</f>
        <v>3.987625</v>
      </c>
      <c r="U29" s="753">
        <f>($D$9+$D$10)*'ARP Timing'!S$16</f>
        <v>3.987625</v>
      </c>
      <c r="V29" s="753">
        <f>($D$9+$D$10)*'ARP Timing'!T$16</f>
        <v>3.987625</v>
      </c>
    </row>
    <row r="30" spans="1:23" x14ac:dyDescent="0.25">
      <c r="B30" s="33" t="s">
        <v>331</v>
      </c>
      <c r="C30" s="755"/>
      <c r="E30" s="753">
        <f>($E$9+$E$10)*'ARP Timing'!B$16</f>
        <v>5.8765000000000009</v>
      </c>
      <c r="F30" s="753">
        <f>($E$9+$E$10)*'ARP Timing'!C$16</f>
        <v>5.8765000000000009</v>
      </c>
      <c r="G30" s="753">
        <f>($E$9+$E$10)*'ARP Timing'!D$16</f>
        <v>4.11355</v>
      </c>
      <c r="H30" s="753">
        <f>($E$9+$E$10)*'ARP Timing'!E$16</f>
        <v>4.11355</v>
      </c>
      <c r="I30" s="753">
        <f>($E$9+$E$10)*'ARP Timing'!F$16</f>
        <v>4.11355</v>
      </c>
      <c r="J30" s="753">
        <f>($E$9+$E$10)*'ARP Timing'!G$16</f>
        <v>4.11355</v>
      </c>
      <c r="K30" s="753">
        <f>($E$9+$E$10)*'ARP Timing'!H$16</f>
        <v>4.11355</v>
      </c>
      <c r="L30" s="753">
        <f>($E$9+$E$10)*'ARP Timing'!I$16</f>
        <v>4.11355</v>
      </c>
      <c r="M30" s="753">
        <f>($E$9+$E$10)*'ARP Timing'!J$16</f>
        <v>4.11355</v>
      </c>
      <c r="N30" s="753">
        <f>($E$9+$E$10)*'ARP Timing'!K$16</f>
        <v>4.11355</v>
      </c>
      <c r="O30" s="753">
        <f>($E$9+$E$10)*'ARP Timing'!L$16</f>
        <v>4.11355</v>
      </c>
      <c r="P30" s="753">
        <f>($E$9+$E$10)*'ARP Timing'!M$16</f>
        <v>4.11355</v>
      </c>
      <c r="Q30" s="753">
        <f>($E$9+$E$10)*'ARP Timing'!N$16</f>
        <v>3.987625</v>
      </c>
      <c r="R30" s="753">
        <f>($E$9+$E$10)*'ARP Timing'!O$16</f>
        <v>3.987625</v>
      </c>
      <c r="S30" s="753">
        <f>($E$9+$E$10)*'ARP Timing'!P$16</f>
        <v>3.987625</v>
      </c>
      <c r="T30" s="753">
        <f>($E$9+$E$10)*'ARP Timing'!Q$16</f>
        <v>3.987625</v>
      </c>
      <c r="U30" s="753">
        <f>($E$9+$E$10)*'ARP Timing'!R$16</f>
        <v>3.987625</v>
      </c>
      <c r="V30" s="753">
        <f>($E$9+$E$10)*'ARP Timing'!S$16</f>
        <v>3.987625</v>
      </c>
    </row>
    <row r="31" spans="1:23" x14ac:dyDescent="0.25">
      <c r="B31" s="33" t="s">
        <v>779</v>
      </c>
      <c r="C31" s="755"/>
      <c r="F31" s="753">
        <f>($F$9+$F$10)*'ARP Timing'!B$16</f>
        <v>5.7722700000000016</v>
      </c>
      <c r="G31" s="753">
        <f>($F$9+$F$10)*'ARP Timing'!C$16</f>
        <v>5.7722700000000016</v>
      </c>
      <c r="H31" s="753">
        <f>($F$9+$F$10)*'ARP Timing'!D$16</f>
        <v>4.0405890000000007</v>
      </c>
      <c r="I31" s="753">
        <f>($F$9+$F$10)*'ARP Timing'!E$16</f>
        <v>4.0405890000000007</v>
      </c>
      <c r="J31" s="753">
        <f>($F$9+$F$10)*'ARP Timing'!F$16</f>
        <v>4.0405890000000007</v>
      </c>
      <c r="K31" s="753">
        <f>($F$9+$F$10)*'ARP Timing'!G$16</f>
        <v>4.0405890000000007</v>
      </c>
      <c r="L31" s="753">
        <f>($F$9+$F$10)*'ARP Timing'!H$16</f>
        <v>4.0405890000000007</v>
      </c>
      <c r="M31" s="753">
        <f>($F$9+$F$10)*'ARP Timing'!I$16</f>
        <v>4.0405890000000007</v>
      </c>
      <c r="N31" s="753">
        <f>($F$9+$F$10)*'ARP Timing'!J$16</f>
        <v>4.0405890000000007</v>
      </c>
      <c r="O31" s="753">
        <f>($F$9+$F$10)*'ARP Timing'!K$16</f>
        <v>4.0405890000000007</v>
      </c>
      <c r="P31" s="753">
        <f>($F$9+$F$10)*'ARP Timing'!L$16</f>
        <v>4.0405890000000007</v>
      </c>
      <c r="Q31" s="753">
        <f>($F$9+$F$10)*'ARP Timing'!M$16</f>
        <v>4.0405890000000007</v>
      </c>
      <c r="R31" s="753">
        <f>($F$9+$F$10)*'ARP Timing'!N$16</f>
        <v>3.9168975000000006</v>
      </c>
      <c r="S31" s="753">
        <f>($F$9+$F$10)*'ARP Timing'!O$16</f>
        <v>3.9168975000000006</v>
      </c>
      <c r="T31" s="753">
        <f>($F$9+$F$10)*'ARP Timing'!P$16</f>
        <v>3.9168975000000006</v>
      </c>
      <c r="U31" s="753">
        <f>($F$9+$F$10)*'ARP Timing'!Q$16</f>
        <v>3.9168975000000006</v>
      </c>
      <c r="V31" s="753">
        <f>($F$9+$F$10)*'ARP Timing'!R$16</f>
        <v>3.9168975000000006</v>
      </c>
    </row>
    <row r="32" spans="1:23" x14ac:dyDescent="0.25">
      <c r="A32" s="753">
        <v>2022</v>
      </c>
      <c r="B32" s="33" t="s">
        <v>240</v>
      </c>
      <c r="C32" s="755"/>
      <c r="G32" s="753">
        <f>($G$9+$G$10)*'ARP Timing'!B$16</f>
        <v>5.7722700000000016</v>
      </c>
      <c r="H32" s="753">
        <f>($G$9+$G$10)*'ARP Timing'!C$16</f>
        <v>5.7722700000000016</v>
      </c>
      <c r="I32" s="753">
        <f>($G$9+$G$10)*'ARP Timing'!D$16</f>
        <v>4.0405890000000007</v>
      </c>
      <c r="J32" s="753">
        <f>($G$9+$G$10)*'ARP Timing'!E$16</f>
        <v>4.0405890000000007</v>
      </c>
      <c r="K32" s="753">
        <f>($G$9+$G$10)*'ARP Timing'!F$16</f>
        <v>4.0405890000000007</v>
      </c>
      <c r="L32" s="753">
        <f>($G$9+$G$10)*'ARP Timing'!G$16</f>
        <v>4.0405890000000007</v>
      </c>
      <c r="M32" s="753">
        <f>($G$9+$G$10)*'ARP Timing'!H$16</f>
        <v>4.0405890000000007</v>
      </c>
      <c r="N32" s="753">
        <f>($G$9+$G$10)*'ARP Timing'!I$16</f>
        <v>4.0405890000000007</v>
      </c>
      <c r="O32" s="753">
        <f>($G$9+$G$10)*'ARP Timing'!J$16</f>
        <v>4.0405890000000007</v>
      </c>
      <c r="P32" s="753">
        <f>($G$9+$G$10)*'ARP Timing'!K$16</f>
        <v>4.0405890000000007</v>
      </c>
      <c r="Q32" s="753">
        <f>($G$9+$G$10)*'ARP Timing'!L$16</f>
        <v>4.0405890000000007</v>
      </c>
      <c r="R32" s="753">
        <f>($G$9+$G$10)*'ARP Timing'!M$16</f>
        <v>4.0405890000000007</v>
      </c>
      <c r="S32" s="753">
        <f>($G$9+$G$10)*'ARP Timing'!N$16</f>
        <v>3.9168975000000006</v>
      </c>
      <c r="T32" s="753">
        <f>($G$9+$G$10)*'ARP Timing'!O$16</f>
        <v>3.9168975000000006</v>
      </c>
      <c r="U32" s="753">
        <f>($G$9+$G$10)*'ARP Timing'!P$16</f>
        <v>3.9168975000000006</v>
      </c>
      <c r="V32" s="753">
        <f>($G$9+$G$10)*'ARP Timing'!Q$16</f>
        <v>3.9168975000000006</v>
      </c>
    </row>
    <row r="33" spans="1:23" x14ac:dyDescent="0.25">
      <c r="B33" s="33" t="s">
        <v>241</v>
      </c>
      <c r="C33" s="755"/>
      <c r="H33" s="753">
        <f>($H$9+$H$10)*'ARP Timing'!B$16</f>
        <v>5.7722700000000016</v>
      </c>
      <c r="I33" s="753">
        <f>($H$9+$H$10)*'ARP Timing'!C$16</f>
        <v>5.7722700000000016</v>
      </c>
      <c r="J33" s="753">
        <f>($H$9+$H$10)*'ARP Timing'!D$16</f>
        <v>4.0405890000000007</v>
      </c>
      <c r="K33" s="753">
        <f>($H$9+$H$10)*'ARP Timing'!E$16</f>
        <v>4.0405890000000007</v>
      </c>
      <c r="L33" s="753">
        <f>($H$9+$H$10)*'ARP Timing'!F$16</f>
        <v>4.0405890000000007</v>
      </c>
      <c r="M33" s="753">
        <f>($H$9+$H$10)*'ARP Timing'!G$16</f>
        <v>4.0405890000000007</v>
      </c>
      <c r="N33" s="753">
        <f>($H$9+$H$10)*'ARP Timing'!H$16</f>
        <v>4.0405890000000007</v>
      </c>
      <c r="O33" s="753">
        <f>($H$9+$H$10)*'ARP Timing'!I$16</f>
        <v>4.0405890000000007</v>
      </c>
      <c r="P33" s="753">
        <f>($H$9+$H$10)*'ARP Timing'!J$16</f>
        <v>4.0405890000000007</v>
      </c>
      <c r="Q33" s="753">
        <f>($H$9+$H$10)*'ARP Timing'!K$16</f>
        <v>4.0405890000000007</v>
      </c>
      <c r="R33" s="753">
        <f>($H$9+$H$10)*'ARP Timing'!L$16</f>
        <v>4.0405890000000007</v>
      </c>
      <c r="S33" s="753">
        <f>($H$9+$H$10)*'ARP Timing'!M$16</f>
        <v>4.0405890000000007</v>
      </c>
      <c r="T33" s="753">
        <f>($H$9+$H$10)*'ARP Timing'!N$16</f>
        <v>3.9168975000000006</v>
      </c>
      <c r="U33" s="753">
        <f>($H$9+$H$10)*'ARP Timing'!O$16</f>
        <v>3.9168975000000006</v>
      </c>
      <c r="V33" s="753">
        <f>($H$9+$H$10)*'ARP Timing'!P$16</f>
        <v>3.9168975000000006</v>
      </c>
    </row>
    <row r="34" spans="1:23" x14ac:dyDescent="0.25">
      <c r="B34" s="33" t="s">
        <v>331</v>
      </c>
      <c r="C34" s="755"/>
      <c r="H34" s="755"/>
      <c r="I34" s="753">
        <f>($I$9+$I10)*'ARP Timing'!B$16</f>
        <v>5.7722700000000016</v>
      </c>
      <c r="J34" s="753">
        <f>($I$9+$I10)*'ARP Timing'!C$16</f>
        <v>5.7722700000000016</v>
      </c>
      <c r="K34" s="753">
        <f>($I$9+$I10)*'ARP Timing'!D$16</f>
        <v>4.0405890000000007</v>
      </c>
      <c r="L34" s="753">
        <f>($I$9+$I10)*'ARP Timing'!E$16</f>
        <v>4.0405890000000007</v>
      </c>
      <c r="M34" s="753">
        <f>($I$9+$I10)*'ARP Timing'!F$16</f>
        <v>4.0405890000000007</v>
      </c>
      <c r="N34" s="753">
        <f>($I$9+$I10)*'ARP Timing'!G$16</f>
        <v>4.0405890000000007</v>
      </c>
      <c r="O34" s="753">
        <f>($I$9+$I10)*'ARP Timing'!H$16</f>
        <v>4.0405890000000007</v>
      </c>
      <c r="P34" s="753">
        <f>($I$9+$I10)*'ARP Timing'!I$16</f>
        <v>4.0405890000000007</v>
      </c>
      <c r="Q34" s="753">
        <f>($I$9+$I10)*'ARP Timing'!J$16</f>
        <v>4.0405890000000007</v>
      </c>
      <c r="R34" s="753">
        <f>($I$9+$I10)*'ARP Timing'!K$16</f>
        <v>4.0405890000000007</v>
      </c>
      <c r="S34" s="753">
        <f>($I$9+$I10)*'ARP Timing'!L$16</f>
        <v>4.0405890000000007</v>
      </c>
      <c r="T34" s="753">
        <f>($I$9+$I10)*'ARP Timing'!M$16</f>
        <v>4.0405890000000007</v>
      </c>
      <c r="U34" s="753">
        <f>($I$9+$I10)*'ARP Timing'!N$16</f>
        <v>3.9168975000000006</v>
      </c>
      <c r="V34" s="753">
        <f>($I$9+$I10)*'ARP Timing'!O$16</f>
        <v>3.9168975000000006</v>
      </c>
    </row>
    <row r="35" spans="1:23" x14ac:dyDescent="0.25">
      <c r="B35" s="33" t="s">
        <v>779</v>
      </c>
      <c r="C35" s="755"/>
      <c r="H35" s="755"/>
      <c r="J35" s="753">
        <f>($J$9+$J$10)*'ARP Timing'!B$16</f>
        <v>4.3968400000000001</v>
      </c>
      <c r="K35" s="753">
        <f>($J$9+$J$10)*'ARP Timing'!C$16</f>
        <v>4.3968400000000001</v>
      </c>
      <c r="L35" s="753">
        <f>($J$9+$J$10)*'ARP Timing'!D$16</f>
        <v>3.077788</v>
      </c>
      <c r="M35" s="753">
        <f>($J$9+$J$10)*'ARP Timing'!E$16</f>
        <v>3.077788</v>
      </c>
      <c r="N35" s="753">
        <f>($J$9+$J$10)*'ARP Timing'!F$16</f>
        <v>3.077788</v>
      </c>
      <c r="O35" s="753">
        <f>($J$9+$J$10)*'ARP Timing'!G$16</f>
        <v>3.077788</v>
      </c>
      <c r="P35" s="753">
        <f>($J$9+$J$10)*'ARP Timing'!H$16</f>
        <v>3.077788</v>
      </c>
      <c r="Q35" s="753">
        <f>($J$9+$J$10)*'ARP Timing'!I$16</f>
        <v>3.077788</v>
      </c>
      <c r="R35" s="753">
        <f>($J$9+$J$10)*'ARP Timing'!J$16</f>
        <v>3.077788</v>
      </c>
      <c r="S35" s="753">
        <f>($J$9+$J$10)*'ARP Timing'!K$16</f>
        <v>3.077788</v>
      </c>
      <c r="T35" s="753">
        <f>($J$9+$J$10)*'ARP Timing'!L$16</f>
        <v>3.077788</v>
      </c>
      <c r="U35" s="753">
        <f>($J$9+$J$10)*'ARP Timing'!M$16</f>
        <v>3.077788</v>
      </c>
      <c r="V35" s="753">
        <f>($J$9+$J$10)*'ARP Timing'!N$16</f>
        <v>2.9835699999999998</v>
      </c>
    </row>
    <row r="36" spans="1:23" x14ac:dyDescent="0.25">
      <c r="A36" s="753">
        <v>2023</v>
      </c>
      <c r="B36" s="33" t="s">
        <v>240</v>
      </c>
      <c r="C36" s="755"/>
      <c r="H36" s="755"/>
      <c r="K36" s="753">
        <f>($K$9+$K$10)*'ARP Timing'!B$16</f>
        <v>4.3968400000000001</v>
      </c>
      <c r="L36" s="753">
        <f>($K$9+$K$10)*'ARP Timing'!C$16</f>
        <v>4.3968400000000001</v>
      </c>
      <c r="M36" s="753">
        <f>($K$9+$K$10)*'ARP Timing'!D$16</f>
        <v>3.077788</v>
      </c>
      <c r="N36" s="753">
        <f>($K$9+$K$10)*'ARP Timing'!E$16</f>
        <v>3.077788</v>
      </c>
      <c r="O36" s="753">
        <f>($K$9+$K$10)*'ARP Timing'!F$16</f>
        <v>3.077788</v>
      </c>
      <c r="P36" s="753">
        <f>($K$9+$K$10)*'ARP Timing'!G$16</f>
        <v>3.077788</v>
      </c>
      <c r="Q36" s="753">
        <f>($K$9+$K$10)*'ARP Timing'!H$16</f>
        <v>3.077788</v>
      </c>
      <c r="R36" s="753">
        <f>($K$9+$K$10)*'ARP Timing'!I$16</f>
        <v>3.077788</v>
      </c>
      <c r="S36" s="753">
        <f>($K$9+$K$10)*'ARP Timing'!J$16</f>
        <v>3.077788</v>
      </c>
      <c r="T36" s="753">
        <f>($K$9+$K$10)*'ARP Timing'!K$16</f>
        <v>3.077788</v>
      </c>
      <c r="U36" s="753">
        <f>($K$9+$K$10)*'ARP Timing'!L$16</f>
        <v>3.077788</v>
      </c>
      <c r="V36" s="753">
        <f>($K$9+$K$10)*'ARP Timing'!M$16</f>
        <v>3.077788</v>
      </c>
    </row>
    <row r="37" spans="1:23" x14ac:dyDescent="0.25">
      <c r="B37" s="33" t="s">
        <v>241</v>
      </c>
      <c r="C37" s="755"/>
      <c r="H37" s="755"/>
      <c r="L37" s="753">
        <f>($L$9+$L$10)*'ARP Timing'!B$16</f>
        <v>4.3968400000000001</v>
      </c>
      <c r="M37" s="753">
        <f>($L$9+$L$10)*'ARP Timing'!C$16</f>
        <v>4.3968400000000001</v>
      </c>
      <c r="N37" s="753">
        <f>($L$9+$L$10)*'ARP Timing'!D$16</f>
        <v>3.077788</v>
      </c>
      <c r="O37" s="753">
        <f>($L$9+$L$10)*'ARP Timing'!E$16</f>
        <v>3.077788</v>
      </c>
      <c r="P37" s="753">
        <f>($L$9+$L$10)*'ARP Timing'!F$16</f>
        <v>3.077788</v>
      </c>
      <c r="Q37" s="753">
        <f>($L$9+$L$10)*'ARP Timing'!G$16</f>
        <v>3.077788</v>
      </c>
      <c r="R37" s="753">
        <f>($L$9+$L$10)*'ARP Timing'!H$16</f>
        <v>3.077788</v>
      </c>
      <c r="S37" s="753">
        <f>($L$9+$L$10)*'ARP Timing'!I$16</f>
        <v>3.077788</v>
      </c>
      <c r="T37" s="753">
        <f>($L$9+$L$10)*'ARP Timing'!J$16</f>
        <v>3.077788</v>
      </c>
      <c r="U37" s="753">
        <f>($L$9+$L$10)*'ARP Timing'!K$16</f>
        <v>3.077788</v>
      </c>
      <c r="V37" s="753">
        <f>($L$9+$L$10)*'ARP Timing'!L$16</f>
        <v>3.077788</v>
      </c>
    </row>
    <row r="38" spans="1:23" x14ac:dyDescent="0.25">
      <c r="B38" s="33" t="s">
        <v>331</v>
      </c>
      <c r="C38" s="755"/>
      <c r="H38" s="755"/>
      <c r="M38" s="753">
        <f>($M$9+$M$10)*'ARP Timing'!B$16</f>
        <v>4.3968400000000001</v>
      </c>
      <c r="N38" s="753">
        <f>($M$9+$M$10)*'ARP Timing'!C$16</f>
        <v>4.3968400000000001</v>
      </c>
      <c r="O38" s="753">
        <f>($M$9+$M$10)*'ARP Timing'!D$16</f>
        <v>3.077788</v>
      </c>
      <c r="P38" s="753">
        <f>($M$9+$M$10)*'ARP Timing'!E$16</f>
        <v>3.077788</v>
      </c>
      <c r="Q38" s="753">
        <f>($M$9+$M$10)*'ARP Timing'!F$16</f>
        <v>3.077788</v>
      </c>
      <c r="R38" s="753">
        <f>($M$9+$M$10)*'ARP Timing'!G$16</f>
        <v>3.077788</v>
      </c>
      <c r="S38" s="753">
        <f>($M$9+$M$10)*'ARP Timing'!H$16</f>
        <v>3.077788</v>
      </c>
      <c r="T38" s="753">
        <f>($M$9+$M$10)*'ARP Timing'!I$16</f>
        <v>3.077788</v>
      </c>
      <c r="U38" s="753">
        <f>($M$9+$M$10)*'ARP Timing'!J$16</f>
        <v>3.077788</v>
      </c>
      <c r="V38" s="753">
        <f>($M$9+$M$10)*'ARP Timing'!K$16</f>
        <v>3.077788</v>
      </c>
    </row>
    <row r="39" spans="1:23" x14ac:dyDescent="0.25">
      <c r="B39" s="33" t="s">
        <v>779</v>
      </c>
      <c r="C39" s="755"/>
      <c r="H39" s="755"/>
      <c r="N39" s="753">
        <f>($N$9+$N$10)*'ARP Timing'!B$16</f>
        <v>2.9087800000000006</v>
      </c>
      <c r="O39" s="753">
        <f>($N$9+$N$10)*'ARP Timing'!C$16</f>
        <v>2.9087800000000006</v>
      </c>
      <c r="P39" s="753">
        <f>($N$9+$N$10)*'ARP Timing'!D$16</f>
        <v>2.036146</v>
      </c>
      <c r="Q39" s="753">
        <f>($N$9+$N$10)*'ARP Timing'!E$16</f>
        <v>2.036146</v>
      </c>
      <c r="R39" s="753">
        <f>($N$9+$N$10)*'ARP Timing'!F$16</f>
        <v>2.036146</v>
      </c>
      <c r="S39" s="753">
        <f>($N$9+$N$10)*'ARP Timing'!G$16</f>
        <v>2.036146</v>
      </c>
      <c r="T39" s="753">
        <f>($N$9+$N$10)*'ARP Timing'!H$16</f>
        <v>2.036146</v>
      </c>
      <c r="U39" s="753">
        <f>($N$9+$N$10)*'ARP Timing'!I$16</f>
        <v>2.036146</v>
      </c>
      <c r="V39" s="753">
        <f>($N$9+$N$10)*'ARP Timing'!J$16</f>
        <v>2.036146</v>
      </c>
    </row>
    <row r="40" spans="1:23" x14ac:dyDescent="0.25">
      <c r="A40" s="753">
        <v>2024</v>
      </c>
      <c r="B40" s="33" t="s">
        <v>240</v>
      </c>
      <c r="C40" s="755"/>
      <c r="H40" s="755"/>
      <c r="O40" s="753">
        <f>($O$9+$O$10)*'ARP Timing'!B$16</f>
        <v>2.9087800000000006</v>
      </c>
      <c r="P40" s="753">
        <f>($O$9+$O$10)*'ARP Timing'!C$16</f>
        <v>2.9087800000000006</v>
      </c>
      <c r="Q40" s="753">
        <f>($O$9+$O$10)*'ARP Timing'!D$16</f>
        <v>2.036146</v>
      </c>
      <c r="R40" s="753">
        <f>($O$9+$O$10)*'ARP Timing'!E$16</f>
        <v>2.036146</v>
      </c>
      <c r="S40" s="753">
        <f>($O$9+$O$10)*'ARP Timing'!F$16</f>
        <v>2.036146</v>
      </c>
      <c r="T40" s="753">
        <f>($O$9+$O$10)*'ARP Timing'!G$16</f>
        <v>2.036146</v>
      </c>
      <c r="U40" s="753">
        <f>($O$9+$O$10)*'ARP Timing'!H$16</f>
        <v>2.036146</v>
      </c>
      <c r="V40" s="753">
        <f>($O$9+$O$10)*'ARP Timing'!I$16</f>
        <v>2.036146</v>
      </c>
    </row>
    <row r="41" spans="1:23" x14ac:dyDescent="0.25">
      <c r="B41" s="33" t="s">
        <v>241</v>
      </c>
      <c r="C41" s="755"/>
      <c r="H41" s="755"/>
      <c r="P41" s="753">
        <f>($P$9+$P$10)*'ARP Timing'!B$16</f>
        <v>2.9087800000000006</v>
      </c>
      <c r="Q41" s="753">
        <f>($P$9+$P$10)*'ARP Timing'!C$16</f>
        <v>2.9087800000000006</v>
      </c>
      <c r="R41" s="753">
        <f>($P$9+$P$10)*'ARP Timing'!D$16</f>
        <v>2.036146</v>
      </c>
      <c r="S41" s="753">
        <f>($P$9+$P$10)*'ARP Timing'!E$16</f>
        <v>2.036146</v>
      </c>
      <c r="T41" s="753">
        <f>($P$9+$P$10)*'ARP Timing'!F$16</f>
        <v>2.036146</v>
      </c>
      <c r="U41" s="753">
        <f>($P$9+$P$10)*'ARP Timing'!G$16</f>
        <v>2.036146</v>
      </c>
      <c r="V41" s="753">
        <f>($P$9+$P$10)*'ARP Timing'!H$16</f>
        <v>2.036146</v>
      </c>
    </row>
    <row r="42" spans="1:23" x14ac:dyDescent="0.25">
      <c r="B42" s="33" t="s">
        <v>331</v>
      </c>
      <c r="C42" s="755"/>
      <c r="H42" s="755"/>
      <c r="Q42" s="753">
        <f>($Q$9+$Q$10)*'ARP Timing'!B$16</f>
        <v>2.9087800000000006</v>
      </c>
      <c r="R42" s="753">
        <f>($Q$9+$Q$10)*'ARP Timing'!C$16</f>
        <v>2.9087800000000006</v>
      </c>
      <c r="S42" s="753">
        <f>($Q$9+$Q$10)*'ARP Timing'!D$16</f>
        <v>2.036146</v>
      </c>
      <c r="T42" s="753">
        <f>($Q$9+$Q$10)*'ARP Timing'!E$16</f>
        <v>2.036146</v>
      </c>
      <c r="U42" s="753">
        <f>($Q$9+$Q$10)*'ARP Timing'!F$16</f>
        <v>2.036146</v>
      </c>
      <c r="V42" s="753">
        <f>($Q$9+$Q$10)*'ARP Timing'!G$16</f>
        <v>2.036146</v>
      </c>
    </row>
    <row r="43" spans="1:23" x14ac:dyDescent="0.25">
      <c r="B43" s="33" t="s">
        <v>779</v>
      </c>
      <c r="C43" s="755"/>
      <c r="H43" s="755"/>
      <c r="R43" s="753">
        <f>($R$9+$R$10)*'ARP Timing'!B$16</f>
        <v>1.9374600000000002</v>
      </c>
      <c r="S43" s="753">
        <f>($R$9+$R$10)*'ARP Timing'!C$16</f>
        <v>1.9374600000000002</v>
      </c>
      <c r="T43" s="753">
        <f>($R$9+$R$10)*'ARP Timing'!D$16</f>
        <v>1.356222</v>
      </c>
      <c r="U43" s="753">
        <f>($R$9+$R$10)*'ARP Timing'!E$16</f>
        <v>1.356222</v>
      </c>
      <c r="V43" s="753">
        <f>($R$9+$R$10)*'ARP Timing'!F$16</f>
        <v>1.356222</v>
      </c>
    </row>
    <row r="44" spans="1:23" x14ac:dyDescent="0.25">
      <c r="S44" s="753">
        <f>($S$9+$S$10)*'ARP Timing'!B$16</f>
        <v>1.9374600000000002</v>
      </c>
      <c r="T44" s="753">
        <f>($S$9+$S$10)*'ARP Timing'!C$16</f>
        <v>1.9374600000000002</v>
      </c>
      <c r="U44" s="753">
        <f>($S$9+$S$10)*'ARP Timing'!D$16</f>
        <v>1.356222</v>
      </c>
      <c r="V44" s="753">
        <f>($S$9+$S$10)*'ARP Timing'!E$16</f>
        <v>1.356222</v>
      </c>
    </row>
    <row r="46" spans="1:23" x14ac:dyDescent="0.25">
      <c r="B46" s="753" t="s">
        <v>780</v>
      </c>
      <c r="D46" s="634" t="s">
        <v>251</v>
      </c>
      <c r="E46" s="634" t="s">
        <v>180</v>
      </c>
      <c r="F46" s="634" t="s">
        <v>181</v>
      </c>
      <c r="G46" s="634" t="s">
        <v>182</v>
      </c>
      <c r="H46" s="634" t="s">
        <v>183</v>
      </c>
      <c r="I46" s="634" t="s">
        <v>184</v>
      </c>
      <c r="J46" s="634" t="s">
        <v>185</v>
      </c>
      <c r="K46" s="634" t="s">
        <v>186</v>
      </c>
      <c r="L46" s="634" t="s">
        <v>187</v>
      </c>
      <c r="M46" s="634" t="s">
        <v>188</v>
      </c>
      <c r="N46" s="634" t="s">
        <v>189</v>
      </c>
      <c r="O46" s="634" t="s">
        <v>190</v>
      </c>
      <c r="P46" s="634" t="s">
        <v>191</v>
      </c>
      <c r="Q46" s="634" t="s">
        <v>175</v>
      </c>
      <c r="R46" s="634" t="s">
        <v>176</v>
      </c>
      <c r="S46" s="634" t="s">
        <v>177</v>
      </c>
      <c r="T46" s="634" t="s">
        <v>768</v>
      </c>
      <c r="U46" s="634" t="s">
        <v>769</v>
      </c>
      <c r="V46" s="634" t="s">
        <v>770</v>
      </c>
    </row>
    <row r="47" spans="1:23" x14ac:dyDescent="0.25">
      <c r="B47" s="33"/>
      <c r="C47" s="755" t="s">
        <v>312</v>
      </c>
      <c r="D47" s="1268">
        <f t="shared" ref="D47:U47" si="42">SUM(D48:D66)</f>
        <v>0</v>
      </c>
      <c r="E47" s="1268">
        <f t="shared" si="42"/>
        <v>0</v>
      </c>
      <c r="F47" s="1268">
        <f t="shared" si="42"/>
        <v>34.620851999999999</v>
      </c>
      <c r="G47" s="1268">
        <f t="shared" si="42"/>
        <v>50.996274799999995</v>
      </c>
      <c r="H47" s="1268">
        <f t="shared" si="42"/>
        <v>69.350031999999999</v>
      </c>
      <c r="I47" s="1268">
        <f t="shared" si="42"/>
        <v>79.295867999999999</v>
      </c>
      <c r="J47" s="1268">
        <f t="shared" si="42"/>
        <v>80.538927999999999</v>
      </c>
      <c r="K47" s="1268">
        <f t="shared" si="42"/>
        <v>80.122543199999996</v>
      </c>
      <c r="L47" s="1268">
        <f t="shared" si="42"/>
        <v>88.916719999999998</v>
      </c>
      <c r="M47" s="1268">
        <f t="shared" si="42"/>
        <v>92.213943999999998</v>
      </c>
      <c r="N47" s="1268">
        <f t="shared" si="42"/>
        <v>92.213943999999998</v>
      </c>
      <c r="O47" s="1268">
        <f t="shared" si="42"/>
        <v>94.213943999999998</v>
      </c>
      <c r="P47" s="1268">
        <f t="shared" si="42"/>
        <v>98.916719999999998</v>
      </c>
      <c r="Q47" s="1268">
        <f t="shared" si="42"/>
        <v>98.916719999999998</v>
      </c>
      <c r="R47" s="1268">
        <f t="shared" si="42"/>
        <v>99.081581199999988</v>
      </c>
      <c r="S47" s="1268">
        <f t="shared" si="42"/>
        <v>93.146578000000005</v>
      </c>
      <c r="T47" s="1268">
        <f t="shared" si="42"/>
        <v>86.552129999999991</v>
      </c>
      <c r="U47" s="1268">
        <f t="shared" si="42"/>
        <v>86.552129999999991</v>
      </c>
      <c r="V47" s="1268">
        <f>SUM(V48:V66)</f>
        <v>82.265738799999994</v>
      </c>
      <c r="W47" s="753">
        <f>SUM(G47:V47)/4</f>
        <v>343.32344900000004</v>
      </c>
    </row>
    <row r="48" spans="1:23" x14ac:dyDescent="0.25">
      <c r="A48" s="753">
        <v>2021</v>
      </c>
      <c r="B48" s="33" t="s">
        <v>778</v>
      </c>
      <c r="C48" s="755"/>
      <c r="D48" s="753">
        <f>($D$8)*'ARP Timing'!B17</f>
        <v>0</v>
      </c>
      <c r="E48" s="753">
        <f>($D$8)*'ARP Timing'!C17</f>
        <v>0</v>
      </c>
      <c r="F48" s="753">
        <f>($D$8)*'ARP Timing'!D17</f>
        <v>34.620851999999999</v>
      </c>
      <c r="G48" s="753">
        <f>($D$8)*'ARP Timing'!E17</f>
        <v>45.996274799999995</v>
      </c>
      <c r="H48" s="753">
        <f>($D$8)*'ARP Timing'!F17</f>
        <v>59.350031999999992</v>
      </c>
      <c r="I48" s="753">
        <f>($D$8)*'ARP Timing'!G17</f>
        <v>64.295867999999999</v>
      </c>
      <c r="J48" s="753">
        <f>($D$8)*'ARP Timing'!H17</f>
        <v>49.458359999999999</v>
      </c>
      <c r="K48" s="753">
        <f>($D$8)*'ARP Timing'!I17</f>
        <v>49.458359999999999</v>
      </c>
      <c r="L48" s="753">
        <f>($D$8)*'ARP Timing'!J17</f>
        <v>59.350031999999992</v>
      </c>
      <c r="M48" s="753">
        <f>($D$8)*'ARP Timing'!K17</f>
        <v>59.350031999999992</v>
      </c>
      <c r="N48" s="753">
        <f>($D$8)*'ARP Timing'!L17</f>
        <v>69.241703999999999</v>
      </c>
      <c r="O48" s="753">
        <f>($D$8)*'ARP Timing'!M17</f>
        <v>69.241703999999999</v>
      </c>
      <c r="P48" s="753">
        <f>($D$8)*'ARP Timing'!N17</f>
        <v>59.350031999999992</v>
      </c>
      <c r="Q48" s="753">
        <f>($D$8)*'ARP Timing'!O17</f>
        <v>59.350031999999992</v>
      </c>
      <c r="R48" s="753">
        <f>($D$8)*'ARP Timing'!P17</f>
        <v>52.920445199999989</v>
      </c>
      <c r="S48" s="753">
        <f>($D$8)*'ARP Timing'!Q17</f>
        <v>46.985441999999992</v>
      </c>
      <c r="T48" s="753">
        <f>($D$8)*'ARP Timing'!R17</f>
        <v>46.985441999999992</v>
      </c>
      <c r="U48" s="753">
        <f>($D$8)*'ARP Timing'!S17</f>
        <v>46.985441999999992</v>
      </c>
      <c r="V48" s="753">
        <f>($D$8)*'ARP Timing'!T17</f>
        <v>46.985441999999992</v>
      </c>
    </row>
    <row r="49" spans="1:22" x14ac:dyDescent="0.25">
      <c r="B49" s="33" t="s">
        <v>331</v>
      </c>
      <c r="C49" s="755"/>
      <c r="E49" s="753">
        <f>($E$8)*'ARP Timing'!B$17</f>
        <v>0</v>
      </c>
      <c r="F49" s="753">
        <f>($E$8)*'ARP Timing'!C$16</f>
        <v>0</v>
      </c>
      <c r="G49" s="753">
        <f>($E$8)*'ARP Timing'!D$16</f>
        <v>0</v>
      </c>
      <c r="H49" s="753">
        <f>($E$8)*'ARP Timing'!E$16</f>
        <v>0</v>
      </c>
      <c r="I49" s="753">
        <f>($E$8)*'ARP Timing'!F$16</f>
        <v>0</v>
      </c>
      <c r="J49" s="753">
        <f>($E$8)*'ARP Timing'!G$16</f>
        <v>0</v>
      </c>
      <c r="K49" s="753">
        <f>($E$8)*'ARP Timing'!H$16</f>
        <v>0</v>
      </c>
      <c r="L49" s="753">
        <f>($E$8)*'ARP Timing'!I$16</f>
        <v>0</v>
      </c>
      <c r="M49" s="753">
        <f>($E$8)*'ARP Timing'!J$16</f>
        <v>0</v>
      </c>
      <c r="N49" s="753">
        <f>($E$8)*'ARP Timing'!K$16</f>
        <v>0</v>
      </c>
      <c r="O49" s="753">
        <f>($E$8)*'ARP Timing'!L$16</f>
        <v>0</v>
      </c>
      <c r="P49" s="753">
        <f>($E$8)*'ARP Timing'!M$16</f>
        <v>0</v>
      </c>
      <c r="Q49" s="753">
        <f>($E$8)*'ARP Timing'!N$16</f>
        <v>0</v>
      </c>
      <c r="R49" s="753">
        <f>($E$8)*'ARP Timing'!O$16</f>
        <v>0</v>
      </c>
      <c r="S49" s="753">
        <f>($E$8)*'ARP Timing'!P$16</f>
        <v>0</v>
      </c>
      <c r="T49" s="753">
        <f>($E$8)*'ARP Timing'!Q$16</f>
        <v>0</v>
      </c>
      <c r="U49" s="753">
        <f>($E$8)*'ARP Timing'!R$16</f>
        <v>0</v>
      </c>
      <c r="V49" s="753">
        <f>($E$8)*'ARP Timing'!S$16</f>
        <v>0</v>
      </c>
    </row>
    <row r="50" spans="1:22" x14ac:dyDescent="0.25">
      <c r="B50" s="33" t="s">
        <v>779</v>
      </c>
      <c r="C50" s="755"/>
      <c r="F50" s="753">
        <f>($F$8)*'ARP Timing'!C$17</f>
        <v>0</v>
      </c>
      <c r="G50" s="753">
        <f>($F$8)*'ARP Timing'!D$17</f>
        <v>0</v>
      </c>
      <c r="H50" s="753">
        <f>($F$8)*'ARP Timing'!E$17</f>
        <v>0</v>
      </c>
      <c r="I50" s="753">
        <f>($F$8)*'ARP Timing'!F$17</f>
        <v>0</v>
      </c>
      <c r="J50" s="753">
        <f>($F$8)*'ARP Timing'!G$17</f>
        <v>0</v>
      </c>
      <c r="K50" s="753">
        <f>($F$8)*'ARP Timing'!H$17</f>
        <v>0</v>
      </c>
      <c r="L50" s="753">
        <f>($F$8)*'ARP Timing'!I$17</f>
        <v>0</v>
      </c>
      <c r="M50" s="753">
        <f>($F$8)*'ARP Timing'!J$17</f>
        <v>0</v>
      </c>
      <c r="N50" s="753">
        <f>($F$8)*'ARP Timing'!K$17</f>
        <v>0</v>
      </c>
      <c r="O50" s="753">
        <f>($F$8)*'ARP Timing'!L$17</f>
        <v>0</v>
      </c>
      <c r="P50" s="753">
        <f>($F$8)*'ARP Timing'!M$17</f>
        <v>0</v>
      </c>
      <c r="Q50" s="753">
        <f>($F$8)*'ARP Timing'!N$17</f>
        <v>0</v>
      </c>
      <c r="R50" s="753">
        <f>($F$8)*'ARP Timing'!O$17</f>
        <v>0</v>
      </c>
      <c r="S50" s="753">
        <f>($F$8)*'ARP Timing'!P$17</f>
        <v>0</v>
      </c>
      <c r="T50" s="753">
        <f>($F$8)*'ARP Timing'!Q$17</f>
        <v>0</v>
      </c>
      <c r="U50" s="753">
        <f>($F$8)*'ARP Timing'!R$17</f>
        <v>0</v>
      </c>
      <c r="V50" s="753">
        <f>($F$8)*'ARP Timing'!S$17</f>
        <v>0</v>
      </c>
    </row>
    <row r="51" spans="1:22" x14ac:dyDescent="0.25">
      <c r="A51" s="753">
        <v>2022</v>
      </c>
      <c r="B51" s="33" t="s">
        <v>240</v>
      </c>
      <c r="C51" s="755"/>
      <c r="G51" s="753">
        <f>($G$8)*'ARP Timing'!D$17</f>
        <v>0</v>
      </c>
      <c r="H51" s="753">
        <f>($G$8)*'ARP Timing'!E$17</f>
        <v>0</v>
      </c>
      <c r="I51" s="753">
        <f>($G$8)*'ARP Timing'!F$17</f>
        <v>0</v>
      </c>
      <c r="J51" s="753">
        <f>($G$8)*'ARP Timing'!G$17</f>
        <v>0</v>
      </c>
      <c r="K51" s="753">
        <f>($G$8)*'ARP Timing'!H$17</f>
        <v>0</v>
      </c>
      <c r="L51" s="753">
        <f>($G$8)*'ARP Timing'!I$17</f>
        <v>0</v>
      </c>
      <c r="M51" s="753">
        <f>($G$8)*'ARP Timing'!J$17</f>
        <v>0</v>
      </c>
      <c r="N51" s="753">
        <f>($G$8)*'ARP Timing'!K$17</f>
        <v>0</v>
      </c>
      <c r="O51" s="753">
        <f>($G$8)*'ARP Timing'!L$17</f>
        <v>0</v>
      </c>
      <c r="P51" s="753">
        <f>($G$8)*'ARP Timing'!M$17</f>
        <v>0</v>
      </c>
      <c r="Q51" s="753">
        <f>($G$8)*'ARP Timing'!N$17</f>
        <v>0</v>
      </c>
      <c r="R51" s="753">
        <f>($G$8)*'ARP Timing'!O$17</f>
        <v>0</v>
      </c>
      <c r="S51" s="753">
        <f>($G$8)*'ARP Timing'!P$17</f>
        <v>0</v>
      </c>
      <c r="T51" s="753">
        <f>($G$8)*'ARP Timing'!Q$17</f>
        <v>0</v>
      </c>
      <c r="U51" s="753">
        <f>($G$8)*'ARP Timing'!R$17</f>
        <v>0</v>
      </c>
      <c r="V51" s="753">
        <f>($G$8)*'ARP Timing'!S$17</f>
        <v>0</v>
      </c>
    </row>
    <row r="52" spans="1:22" x14ac:dyDescent="0.25">
      <c r="B52" s="33" t="s">
        <v>241</v>
      </c>
      <c r="C52" s="755"/>
      <c r="H52" s="753">
        <f>($H$8)*'ARP Timing'!B$17</f>
        <v>0</v>
      </c>
      <c r="I52" s="753">
        <f>($H$8)*'ARP Timing'!C$17</f>
        <v>0</v>
      </c>
      <c r="J52" s="753">
        <f>($H$8)*'ARP Timing'!D$17</f>
        <v>23.080568000000003</v>
      </c>
      <c r="K52" s="753">
        <f>($H$8)*'ARP Timing'!E$17</f>
        <v>30.6641832</v>
      </c>
      <c r="L52" s="753">
        <f>($H$8)*'ARP Timing'!F$17</f>
        <v>39.566687999999999</v>
      </c>
      <c r="M52" s="753">
        <f>($H$8)*'ARP Timing'!G$17</f>
        <v>42.863911999999999</v>
      </c>
      <c r="N52" s="753">
        <f>($H$8)*'ARP Timing'!H$17</f>
        <v>32.972239999999999</v>
      </c>
      <c r="O52" s="753">
        <f>($H$8)*'ARP Timing'!I$17</f>
        <v>32.972239999999999</v>
      </c>
      <c r="P52" s="753">
        <f>($H$8)*'ARP Timing'!J$17</f>
        <v>39.566687999999999</v>
      </c>
      <c r="Q52" s="753">
        <f>($H$8)*'ARP Timing'!K$17</f>
        <v>39.566687999999999</v>
      </c>
      <c r="R52" s="753">
        <f>($H$8)*'ARP Timing'!L$17</f>
        <v>46.161136000000006</v>
      </c>
      <c r="S52" s="753">
        <f>($H$8)*'ARP Timing'!M$17</f>
        <v>46.161136000000006</v>
      </c>
      <c r="T52" s="753">
        <f>($H$8)*'ARP Timing'!N$17</f>
        <v>39.566687999999999</v>
      </c>
      <c r="U52" s="753">
        <f>($H$8)*'ARP Timing'!O$17</f>
        <v>39.566687999999999</v>
      </c>
      <c r="V52" s="753">
        <f>($H$8)*'ARP Timing'!P$17</f>
        <v>35.280296800000002</v>
      </c>
    </row>
    <row r="53" spans="1:22" x14ac:dyDescent="0.25">
      <c r="B53" s="33" t="s">
        <v>331</v>
      </c>
      <c r="C53" s="755"/>
      <c r="H53" s="755"/>
      <c r="I53" s="753">
        <f>($I$8)*'ARP Timing'!B$17</f>
        <v>0</v>
      </c>
      <c r="J53" s="753">
        <f>($I$8)*'ARP Timing'!C$17</f>
        <v>0</v>
      </c>
      <c r="K53" s="753">
        <f>($I$8)*'ARP Timing'!D$17</f>
        <v>0</v>
      </c>
      <c r="L53" s="753">
        <f>($I$8)*'ARP Timing'!E$17</f>
        <v>0</v>
      </c>
      <c r="M53" s="753">
        <f>($I$8)*'ARP Timing'!F$17</f>
        <v>0</v>
      </c>
      <c r="N53" s="753">
        <f>($I$8)*'ARP Timing'!G$17</f>
        <v>0</v>
      </c>
      <c r="O53" s="753">
        <f>($I$8)*'ARP Timing'!H$17</f>
        <v>0</v>
      </c>
      <c r="P53" s="753">
        <f>($I$8)*'ARP Timing'!I$17</f>
        <v>0</v>
      </c>
      <c r="Q53" s="753">
        <f>($I$8)*'ARP Timing'!J$17</f>
        <v>0</v>
      </c>
      <c r="R53" s="753">
        <f>($I$8)*'ARP Timing'!K$17</f>
        <v>0</v>
      </c>
      <c r="S53" s="753">
        <f>($I$8)*'ARP Timing'!L$17</f>
        <v>0</v>
      </c>
      <c r="T53" s="753">
        <f>($I$8)*'ARP Timing'!M$17</f>
        <v>0</v>
      </c>
      <c r="U53" s="753">
        <f>($I$8)*'ARP Timing'!N$17</f>
        <v>0</v>
      </c>
      <c r="V53" s="753">
        <f>($I$8)*'ARP Timing'!O$17</f>
        <v>0</v>
      </c>
    </row>
    <row r="54" spans="1:22" x14ac:dyDescent="0.25">
      <c r="B54" s="33" t="s">
        <v>779</v>
      </c>
      <c r="C54" s="755"/>
      <c r="H54" s="755"/>
    </row>
    <row r="55" spans="1:22" x14ac:dyDescent="0.25">
      <c r="A55" s="753">
        <v>2023</v>
      </c>
      <c r="B55" s="33" t="s">
        <v>240</v>
      </c>
      <c r="C55" s="755"/>
      <c r="H55" s="755"/>
    </row>
    <row r="56" spans="1:22" x14ac:dyDescent="0.25">
      <c r="B56" s="33" t="s">
        <v>241</v>
      </c>
      <c r="C56" s="755"/>
      <c r="H56" s="755"/>
    </row>
    <row r="57" spans="1:22" x14ac:dyDescent="0.25">
      <c r="B57" s="33" t="s">
        <v>331</v>
      </c>
      <c r="C57" s="755"/>
      <c r="H57" s="755"/>
    </row>
    <row r="58" spans="1:22" x14ac:dyDescent="0.25">
      <c r="B58" s="33" t="s">
        <v>779</v>
      </c>
      <c r="C58" s="755"/>
      <c r="H58" s="755"/>
    </row>
    <row r="59" spans="1:22" x14ac:dyDescent="0.25">
      <c r="A59" s="753">
        <v>2024</v>
      </c>
      <c r="B59" s="33" t="s">
        <v>240</v>
      </c>
      <c r="C59" s="755"/>
      <c r="H59" s="755"/>
    </row>
    <row r="60" spans="1:22" x14ac:dyDescent="0.25">
      <c r="B60" s="33" t="s">
        <v>241</v>
      </c>
      <c r="C60" s="755"/>
      <c r="H60" s="755"/>
    </row>
    <row r="61" spans="1:22" x14ac:dyDescent="0.25">
      <c r="B61" s="33" t="s">
        <v>331</v>
      </c>
      <c r="C61" s="755"/>
      <c r="H61" s="755"/>
    </row>
    <row r="62" spans="1:22" x14ac:dyDescent="0.25">
      <c r="B62" s="33" t="s">
        <v>779</v>
      </c>
      <c r="C62" s="755"/>
      <c r="H62" s="755"/>
    </row>
    <row r="63" spans="1:22" x14ac:dyDescent="0.25">
      <c r="A63" t="s">
        <v>895</v>
      </c>
      <c r="B63" s="33"/>
      <c r="C63" s="755"/>
      <c r="G63">
        <v>5</v>
      </c>
      <c r="H63" s="755">
        <v>10</v>
      </c>
      <c r="I63">
        <v>15</v>
      </c>
      <c r="J63">
        <v>8</v>
      </c>
      <c r="K63">
        <v>0</v>
      </c>
      <c r="L63">
        <v>-10</v>
      </c>
      <c r="M63">
        <v>-10</v>
      </c>
      <c r="N63">
        <v>-10</v>
      </c>
      <c r="O63">
        <v>-8</v>
      </c>
    </row>
    <row r="64" spans="1:22" x14ac:dyDescent="0.25">
      <c r="B64" s="33"/>
      <c r="C64" s="755"/>
      <c r="H64" s="755"/>
    </row>
    <row r="65" spans="2:24" x14ac:dyDescent="0.25">
      <c r="B65" s="33"/>
      <c r="C65" s="755"/>
      <c r="H65" s="755"/>
    </row>
    <row r="66" spans="2:24" x14ac:dyDescent="0.25">
      <c r="B66" s="33"/>
      <c r="C66" s="755"/>
      <c r="H66" s="755"/>
    </row>
    <row r="67" spans="2:24" x14ac:dyDescent="0.25">
      <c r="B67" s="33"/>
      <c r="C67" s="755"/>
      <c r="H67" s="755"/>
    </row>
    <row r="68" spans="2:24" x14ac:dyDescent="0.25">
      <c r="B68" s="33"/>
      <c r="C68" s="755"/>
      <c r="H68" s="755"/>
    </row>
    <row r="69" spans="2:24" x14ac:dyDescent="0.25">
      <c r="B69" s="33"/>
      <c r="C69" s="755"/>
      <c r="H69" s="755"/>
    </row>
    <row r="70" spans="2:24" x14ac:dyDescent="0.25">
      <c r="B70" s="33"/>
      <c r="C70" s="755"/>
      <c r="H70" s="755"/>
    </row>
    <row r="71" spans="2:24" x14ac:dyDescent="0.25">
      <c r="B71" s="33"/>
      <c r="C71" s="755"/>
      <c r="H71" s="755"/>
    </row>
    <row r="72" spans="2:24" x14ac:dyDescent="0.25">
      <c r="B72" s="33"/>
      <c r="C72" s="755"/>
      <c r="H72" s="755"/>
    </row>
    <row r="73" spans="2:24" x14ac:dyDescent="0.25">
      <c r="B73" s="33" t="s">
        <v>781</v>
      </c>
      <c r="C73" s="1265">
        <v>2021</v>
      </c>
      <c r="D73" s="1265">
        <v>2022</v>
      </c>
      <c r="E73" s="1265">
        <v>2023</v>
      </c>
      <c r="F73" s="1265">
        <v>2024</v>
      </c>
      <c r="G73" s="1265">
        <v>2025</v>
      </c>
      <c r="H73" s="755"/>
    </row>
    <row r="74" spans="2:24" x14ac:dyDescent="0.25">
      <c r="B74" s="33" t="s">
        <v>678</v>
      </c>
      <c r="C74" s="1269">
        <f t="shared" ref="C74:C85" si="43">SUM(C4:E4)/4</f>
        <v>0.77600000000001046</v>
      </c>
      <c r="D74" s="1269">
        <f t="shared" ref="D74:D85" si="44">SUM(F4:I4)/4</f>
        <v>19.719000000000005</v>
      </c>
      <c r="E74" s="1269">
        <f t="shared" ref="E74:E85" si="45">SUM(J4:M4)/4</f>
        <v>1.4159999999999999</v>
      </c>
      <c r="F74" s="1269">
        <f t="shared" ref="F74:F85" si="46">SUM(N4:Q4)/4</f>
        <v>1.4790000000000001</v>
      </c>
      <c r="G74" s="1269">
        <f t="shared" ref="G74:G85" si="47">SUM(R4:U4)/4</f>
        <v>1.63</v>
      </c>
    </row>
    <row r="75" spans="2:24" x14ac:dyDescent="0.25">
      <c r="B75" s="33" t="s">
        <v>679</v>
      </c>
      <c r="C75" s="1269">
        <f t="shared" si="43"/>
        <v>19.722000000000016</v>
      </c>
      <c r="D75" s="1269">
        <f t="shared" si="44"/>
        <v>52.756999999999998</v>
      </c>
      <c r="E75" s="1269">
        <f t="shared" si="45"/>
        <v>12</v>
      </c>
      <c r="F75" s="1269">
        <f t="shared" si="46"/>
        <v>4.2219999999999995</v>
      </c>
      <c r="G75" s="1269">
        <f t="shared" si="47"/>
        <v>2.3719999999999999</v>
      </c>
      <c r="H75" s="755"/>
    </row>
    <row r="76" spans="2:24" x14ac:dyDescent="0.25">
      <c r="B76" s="33" t="s">
        <v>52</v>
      </c>
      <c r="C76" s="1269">
        <f t="shared" si="43"/>
        <v>81.643000000000001</v>
      </c>
      <c r="D76" s="1269">
        <f t="shared" si="44"/>
        <v>110.24799999999999</v>
      </c>
      <c r="E76" s="1269">
        <f t="shared" si="45"/>
        <v>12.726000000000001</v>
      </c>
      <c r="F76" s="1269">
        <f t="shared" si="46"/>
        <v>1.365</v>
      </c>
      <c r="G76" s="1269">
        <f t="shared" si="47"/>
        <v>-0.90100000000000025</v>
      </c>
      <c r="H76" s="755"/>
      <c r="O76" s="33"/>
      <c r="P76" s="33"/>
      <c r="Q76" s="33"/>
      <c r="R76" s="33"/>
      <c r="S76" s="1270"/>
      <c r="T76" s="1270"/>
      <c r="U76" s="1270"/>
      <c r="V76" s="14"/>
      <c r="W76" s="33"/>
      <c r="X76" s="33"/>
    </row>
    <row r="77" spans="2:24" x14ac:dyDescent="0.25">
      <c r="B77" s="33" t="s">
        <v>131</v>
      </c>
      <c r="C77" s="1269">
        <f t="shared" si="43"/>
        <v>7.798</v>
      </c>
      <c r="D77" s="1269">
        <f t="shared" si="44"/>
        <v>7.9489999999999998</v>
      </c>
      <c r="E77" s="1269">
        <f t="shared" si="45"/>
        <v>4.7519999999999998</v>
      </c>
      <c r="F77" s="1269">
        <f t="shared" si="46"/>
        <v>4.637999999999999</v>
      </c>
      <c r="G77" s="1269">
        <f t="shared" si="47"/>
        <v>1.8800000000000001</v>
      </c>
      <c r="H77" s="755"/>
    </row>
    <row r="78" spans="2:24" x14ac:dyDescent="0.25">
      <c r="B78" s="1267" t="s">
        <v>348</v>
      </c>
      <c r="C78" s="1269">
        <f t="shared" si="43"/>
        <v>247.29179999999997</v>
      </c>
      <c r="D78" s="1269">
        <f t="shared" si="44"/>
        <v>164.8612</v>
      </c>
      <c r="E78" s="1269">
        <f t="shared" si="45"/>
        <v>0</v>
      </c>
      <c r="F78" s="1269">
        <f t="shared" si="46"/>
        <v>0</v>
      </c>
      <c r="G78" s="1269">
        <f t="shared" si="47"/>
        <v>0</v>
      </c>
      <c r="H78" s="755"/>
      <c r="R78" s="1236"/>
      <c r="S78" s="1236"/>
    </row>
    <row r="79" spans="2:24" x14ac:dyDescent="0.25">
      <c r="B79" s="1267" t="s">
        <v>150</v>
      </c>
      <c r="C79" s="1269">
        <f t="shared" si="43"/>
        <v>12.347</v>
      </c>
      <c r="D79" s="1269">
        <f t="shared" si="44"/>
        <v>46.79</v>
      </c>
      <c r="E79" s="1269">
        <f t="shared" si="45"/>
        <v>38.595999999999997</v>
      </c>
      <c r="F79" s="1269">
        <f t="shared" si="46"/>
        <v>31.911000000000001</v>
      </c>
      <c r="G79" s="1269">
        <f t="shared" si="47"/>
        <v>23.099</v>
      </c>
      <c r="H79" s="755"/>
      <c r="R79" s="1236"/>
      <c r="S79" s="1236"/>
    </row>
    <row r="80" spans="2:24" x14ac:dyDescent="0.25">
      <c r="B80" s="1267" t="s">
        <v>364</v>
      </c>
      <c r="C80" s="1269">
        <f t="shared" si="43"/>
        <v>29.628</v>
      </c>
      <c r="D80" s="1269">
        <f t="shared" si="44"/>
        <v>35.671000000000006</v>
      </c>
      <c r="E80" s="1269">
        <f t="shared" si="45"/>
        <v>24.216000000000001</v>
      </c>
      <c r="F80" s="1269">
        <f t="shared" si="46"/>
        <v>9.6430000000000007</v>
      </c>
      <c r="G80" s="1269">
        <f t="shared" si="47"/>
        <v>4.5789999999999997</v>
      </c>
      <c r="H80" s="755"/>
      <c r="R80" s="1236"/>
      <c r="S80" s="1236"/>
    </row>
    <row r="81" spans="2:19" x14ac:dyDescent="0.25">
      <c r="B81" s="14" t="s">
        <v>159</v>
      </c>
      <c r="C81" s="1269">
        <f t="shared" si="43"/>
        <v>25.75</v>
      </c>
      <c r="D81" s="1269">
        <f t="shared" si="44"/>
        <v>0</v>
      </c>
      <c r="E81" s="1269">
        <f t="shared" si="45"/>
        <v>0</v>
      </c>
      <c r="F81" s="1269">
        <f t="shared" si="46"/>
        <v>0</v>
      </c>
      <c r="G81" s="1269">
        <f t="shared" si="47"/>
        <v>0</v>
      </c>
      <c r="H81" s="755"/>
      <c r="R81" s="1236"/>
      <c r="S81" s="1236"/>
    </row>
    <row r="82" spans="2:19" x14ac:dyDescent="0.25">
      <c r="B82" s="33" t="s">
        <v>109</v>
      </c>
      <c r="C82" s="1269">
        <f t="shared" si="43"/>
        <v>31.939</v>
      </c>
      <c r="D82" s="1269">
        <f t="shared" si="44"/>
        <v>56.413000000000004</v>
      </c>
      <c r="E82" s="1269">
        <f t="shared" si="45"/>
        <v>15.652999999999999</v>
      </c>
      <c r="F82" s="1269">
        <f t="shared" si="46"/>
        <v>3.9320000000000004</v>
      </c>
      <c r="G82" s="1269">
        <f t="shared" si="47"/>
        <v>-0.74299999999999988</v>
      </c>
      <c r="R82" s="1236"/>
      <c r="S82" s="1236"/>
    </row>
    <row r="83" spans="2:19" x14ac:dyDescent="0.25">
      <c r="B83" s="753" t="s">
        <v>772</v>
      </c>
      <c r="C83" s="1269">
        <f t="shared" si="43"/>
        <v>1.02</v>
      </c>
      <c r="D83" s="1269">
        <f t="shared" si="44"/>
        <v>1.5299999999999998</v>
      </c>
      <c r="E83" s="1269">
        <f t="shared" si="45"/>
        <v>0</v>
      </c>
      <c r="F83" s="1269">
        <f t="shared" si="46"/>
        <v>0</v>
      </c>
      <c r="G83" s="1269">
        <f t="shared" si="47"/>
        <v>0</v>
      </c>
      <c r="R83" s="1236"/>
      <c r="S83" s="1236"/>
    </row>
    <row r="84" spans="2:19" x14ac:dyDescent="0.25">
      <c r="B84" s="753" t="s">
        <v>773</v>
      </c>
      <c r="C84" s="1269">
        <f t="shared" si="43"/>
        <v>0.67999999999999994</v>
      </c>
      <c r="D84" s="1269">
        <f t="shared" si="44"/>
        <v>1.02</v>
      </c>
      <c r="E84" s="1269">
        <f t="shared" si="45"/>
        <v>0</v>
      </c>
      <c r="F84" s="1269">
        <f t="shared" si="46"/>
        <v>0</v>
      </c>
      <c r="G84" s="1269">
        <f t="shared" si="47"/>
        <v>0</v>
      </c>
      <c r="R84" s="1236"/>
      <c r="S84" s="1236"/>
    </row>
    <row r="85" spans="2:19" x14ac:dyDescent="0.25">
      <c r="B85" s="753" t="s">
        <v>471</v>
      </c>
      <c r="C85" s="1269">
        <f t="shared" si="43"/>
        <v>1.6999999999999997</v>
      </c>
      <c r="D85" s="1269">
        <f t="shared" si="44"/>
        <v>2.5499999999999998</v>
      </c>
      <c r="E85" s="1269">
        <f t="shared" si="45"/>
        <v>0</v>
      </c>
      <c r="F85" s="1269">
        <f t="shared" si="46"/>
        <v>0</v>
      </c>
      <c r="G85" s="1269">
        <f t="shared" si="47"/>
        <v>0</v>
      </c>
      <c r="R85" s="1236"/>
      <c r="S85" s="1236"/>
    </row>
    <row r="86" spans="2:19" x14ac:dyDescent="0.25">
      <c r="C86" s="1265">
        <v>2021</v>
      </c>
      <c r="D86" s="1265">
        <v>2022</v>
      </c>
      <c r="E86" s="1265">
        <v>2023</v>
      </c>
      <c r="F86" s="1265">
        <v>2024</v>
      </c>
      <c r="G86" s="1265">
        <v>2025</v>
      </c>
      <c r="R86" s="1236"/>
      <c r="S86" s="1236"/>
    </row>
    <row r="87" spans="2:19" x14ac:dyDescent="0.25">
      <c r="B87" s="753" t="s">
        <v>782</v>
      </c>
      <c r="C87" s="1268">
        <f>SUM(C83:C85)</f>
        <v>3.3999999999999995</v>
      </c>
      <c r="D87" s="1268">
        <f t="shared" ref="D87:G87" si="48">SUM(D83:D85)</f>
        <v>5.0999999999999996</v>
      </c>
      <c r="E87" s="1268">
        <f t="shared" si="48"/>
        <v>0</v>
      </c>
      <c r="F87" s="1268">
        <f t="shared" si="48"/>
        <v>0</v>
      </c>
      <c r="G87" s="1268">
        <f t="shared" si="48"/>
        <v>0</v>
      </c>
      <c r="R87" s="1236"/>
      <c r="S87" s="1236"/>
    </row>
    <row r="90" spans="2:19" x14ac:dyDescent="0.25">
      <c r="B90" s="753" t="s">
        <v>678</v>
      </c>
      <c r="C90" s="1269">
        <v>26.636000000000024</v>
      </c>
      <c r="D90" s="1269">
        <v>98.978999999999999</v>
      </c>
      <c r="E90" s="1269">
        <v>2.1159999999999997</v>
      </c>
      <c r="F90" s="1269">
        <v>2.1789999999999998</v>
      </c>
      <c r="G90" s="1269">
        <v>2.33</v>
      </c>
      <c r="H90" s="1269"/>
      <c r="I90" s="1269"/>
      <c r="J90" s="1269"/>
      <c r="K90" s="1269"/>
      <c r="L90" s="1269"/>
      <c r="M90" s="1269"/>
    </row>
    <row r="91" spans="2:19" x14ac:dyDescent="0.25">
      <c r="B91" s="753" t="s">
        <v>679</v>
      </c>
      <c r="C91" s="1269">
        <v>47.722000000000016</v>
      </c>
      <c r="D91" s="1269">
        <v>52.756999999999998</v>
      </c>
      <c r="E91" s="1269">
        <v>12</v>
      </c>
      <c r="F91" s="1269">
        <v>4.2219999999999995</v>
      </c>
      <c r="G91" s="1269">
        <v>2.3719999999999999</v>
      </c>
      <c r="H91" s="1269"/>
      <c r="I91" s="1269"/>
      <c r="J91" s="1269"/>
      <c r="K91" s="1269"/>
      <c r="L91" s="1269"/>
      <c r="M91" s="1269"/>
    </row>
    <row r="92" spans="2:19" x14ac:dyDescent="0.25">
      <c r="B92" s="753" t="s">
        <v>52</v>
      </c>
      <c r="C92" s="1269">
        <v>81.842999999999989</v>
      </c>
      <c r="D92" s="1269">
        <v>110.24799999999999</v>
      </c>
      <c r="E92" s="1269">
        <v>12.726000000000001</v>
      </c>
      <c r="F92" s="1269">
        <v>1.365</v>
      </c>
      <c r="G92" s="1269">
        <v>-0.90100000000000025</v>
      </c>
      <c r="H92" s="1269"/>
      <c r="I92" s="1269"/>
      <c r="J92" s="1269"/>
      <c r="K92" s="1269"/>
      <c r="L92" s="1269"/>
      <c r="M92" s="1269"/>
    </row>
    <row r="93" spans="2:19" x14ac:dyDescent="0.25">
      <c r="B93" s="753" t="s">
        <v>131</v>
      </c>
      <c r="C93" s="1269">
        <v>7.798</v>
      </c>
      <c r="D93" s="1269">
        <v>7.9489999999999998</v>
      </c>
      <c r="E93" s="1269">
        <v>4.7519999999999998</v>
      </c>
      <c r="F93" s="1269">
        <v>4.637999999999999</v>
      </c>
      <c r="G93" s="1269">
        <v>1.8800000000000001</v>
      </c>
      <c r="H93" s="1269"/>
      <c r="I93" s="1269"/>
      <c r="J93" s="1269"/>
      <c r="K93" s="1269"/>
      <c r="L93" s="1269"/>
      <c r="M93" s="1269"/>
    </row>
    <row r="94" spans="2:19" x14ac:dyDescent="0.25">
      <c r="B94" s="753" t="s">
        <v>348</v>
      </c>
      <c r="C94" s="1269">
        <v>283.95749999999998</v>
      </c>
      <c r="D94" s="1269">
        <v>77.092500000000001</v>
      </c>
      <c r="E94" s="1269">
        <v>1</v>
      </c>
      <c r="F94" s="1269">
        <v>0</v>
      </c>
      <c r="G94" s="1269">
        <v>0</v>
      </c>
      <c r="H94" s="1269"/>
      <c r="I94" s="1269"/>
      <c r="J94" s="1269"/>
      <c r="K94" s="1269"/>
      <c r="L94" s="1269"/>
      <c r="M94" s="1269"/>
    </row>
    <row r="95" spans="2:19" x14ac:dyDescent="0.25">
      <c r="B95" s="753" t="s">
        <v>150</v>
      </c>
      <c r="C95" s="1269">
        <v>12.347</v>
      </c>
      <c r="D95" s="1269">
        <v>46.79</v>
      </c>
      <c r="E95" s="1269">
        <v>38.595999999999997</v>
      </c>
      <c r="F95" s="1269">
        <v>31.911000000000001</v>
      </c>
      <c r="G95" s="1269">
        <v>23.099</v>
      </c>
      <c r="H95" s="1269"/>
      <c r="I95" s="1269"/>
      <c r="J95" s="1269"/>
      <c r="K95" s="1269"/>
      <c r="L95" s="1269"/>
      <c r="M95" s="1269"/>
    </row>
    <row r="96" spans="2:19" x14ac:dyDescent="0.25">
      <c r="B96" s="753" t="s">
        <v>364</v>
      </c>
      <c r="C96" s="1269">
        <v>2.286</v>
      </c>
      <c r="D96" s="1269">
        <v>4.6049999999999995</v>
      </c>
      <c r="E96" s="1269">
        <v>1.349</v>
      </c>
      <c r="F96" s="1269">
        <v>0.441</v>
      </c>
      <c r="G96" s="1269">
        <v>0.313</v>
      </c>
      <c r="H96" s="1269"/>
      <c r="I96" s="1269"/>
      <c r="J96" s="1269"/>
      <c r="K96" s="1269"/>
      <c r="L96" s="1269"/>
      <c r="M96" s="1269"/>
    </row>
    <row r="97" spans="2:13" x14ac:dyDescent="0.25">
      <c r="B97" s="753" t="s">
        <v>159</v>
      </c>
      <c r="C97" s="1269">
        <v>25.75</v>
      </c>
      <c r="D97" s="1269">
        <v>0</v>
      </c>
      <c r="E97" s="1269">
        <v>0</v>
      </c>
      <c r="F97" s="1269">
        <v>0</v>
      </c>
      <c r="G97" s="1269">
        <v>0</v>
      </c>
      <c r="H97" s="1269"/>
      <c r="I97" s="1269"/>
      <c r="J97" s="1269"/>
      <c r="K97" s="1269"/>
      <c r="L97" s="1269"/>
      <c r="M97" s="1269"/>
    </row>
    <row r="98" spans="2:13" x14ac:dyDescent="0.25">
      <c r="B98" s="753" t="s">
        <v>109</v>
      </c>
      <c r="C98" s="1269">
        <v>60.441000000000003</v>
      </c>
      <c r="D98" s="1269">
        <v>91.678999999999988</v>
      </c>
      <c r="E98" s="1269">
        <v>41.220000000000006</v>
      </c>
      <c r="F98" s="1269">
        <v>14.004000000000003</v>
      </c>
      <c r="G98" s="1269">
        <v>3.8530000000000006</v>
      </c>
      <c r="H98" s="1269"/>
      <c r="I98" s="1269"/>
      <c r="J98" s="1269"/>
      <c r="K98" s="1269"/>
      <c r="L98" s="1269"/>
      <c r="M98" s="1269"/>
    </row>
    <row r="99" spans="2:13" x14ac:dyDescent="0.25">
      <c r="C99" s="1265">
        <v>3.4</v>
      </c>
      <c r="D99" s="1265">
        <v>5.0999999999999996</v>
      </c>
      <c r="E99" s="1265">
        <v>0</v>
      </c>
      <c r="F99" s="1265">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85546875" defaultRowHeight="15" x14ac:dyDescent="0.25"/>
  <sheetData>
    <row r="1" spans="1:12" x14ac:dyDescent="0.2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2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2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2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2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2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2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2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2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2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2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2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2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2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2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2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2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2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2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2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2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2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2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2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2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2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2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2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2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2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2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2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2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2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2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2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2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2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2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2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2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2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2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2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2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2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2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2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2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2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2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2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2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2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2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2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2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2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2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2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2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2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2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2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2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2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2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2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2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2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2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2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2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2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2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2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2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2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2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2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2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2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2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2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2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2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2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2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2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2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2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2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2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2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2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2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2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2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2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2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2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2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2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2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2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2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2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2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2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2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2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2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2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2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2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2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2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2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2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2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2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2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2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2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2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2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2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2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2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2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2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2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2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2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2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2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2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2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2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2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2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2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2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2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2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2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2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2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2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2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2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2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2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2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2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2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2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2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2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2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2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2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2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2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2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2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2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2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2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2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2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2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2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2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2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2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2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2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2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2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2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2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2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2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2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2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2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2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2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2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2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2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2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2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2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2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2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2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2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2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2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2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2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2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2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2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2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2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2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2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2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2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2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2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2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2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2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2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2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2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2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2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2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2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2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2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2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2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2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2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2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2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2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2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2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2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2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2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2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2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2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2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2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2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2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2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2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2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2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2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2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2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5546875" defaultRowHeight="15" x14ac:dyDescent="0.25"/>
  <cols>
    <col min="1" max="1" width="23.85546875" customWidth="1"/>
    <col min="2" max="2" width="79.42578125" customWidth="1"/>
    <col min="3" max="3" width="33.42578125" customWidth="1"/>
  </cols>
  <sheetData>
    <row r="1" spans="1:4" ht="47.85" customHeight="1" x14ac:dyDescent="0.25">
      <c r="A1" s="44" t="s">
        <v>33</v>
      </c>
      <c r="B1" s="45" t="s">
        <v>34</v>
      </c>
      <c r="C1" s="45" t="s">
        <v>35</v>
      </c>
      <c r="D1" s="46" t="s">
        <v>36</v>
      </c>
    </row>
    <row r="2" spans="1:4" ht="116.1" customHeight="1" x14ac:dyDescent="0.25">
      <c r="A2" s="41" t="s">
        <v>879</v>
      </c>
      <c r="B2" s="42" t="s">
        <v>909</v>
      </c>
      <c r="C2" s="42" t="s">
        <v>910</v>
      </c>
      <c r="D2" s="38" t="s">
        <v>924</v>
      </c>
    </row>
    <row r="3" spans="1:4" ht="63.75" customHeight="1" x14ac:dyDescent="0.25">
      <c r="A3" s="19" t="s">
        <v>79</v>
      </c>
      <c r="B3" s="37" t="s">
        <v>40</v>
      </c>
      <c r="C3" s="37" t="s">
        <v>41</v>
      </c>
      <c r="D3" s="39" t="s">
        <v>924</v>
      </c>
    </row>
    <row r="4" spans="1:4" ht="137.25" customHeight="1" x14ac:dyDescent="0.25">
      <c r="A4" s="47" t="s">
        <v>80</v>
      </c>
      <c r="B4" s="37" t="s">
        <v>908</v>
      </c>
      <c r="C4" s="14" t="s">
        <v>881</v>
      </c>
      <c r="D4" s="39"/>
    </row>
    <row r="5" spans="1:4" ht="29.25" customHeight="1" x14ac:dyDescent="0.25">
      <c r="A5" s="47" t="s">
        <v>81</v>
      </c>
      <c r="B5" s="48" t="s">
        <v>82</v>
      </c>
      <c r="C5" s="35" t="s">
        <v>83</v>
      </c>
      <c r="D5" s="39"/>
    </row>
    <row r="6" spans="1:4" ht="43.35" customHeight="1" x14ac:dyDescent="0.25">
      <c r="A6" s="21" t="s">
        <v>84</v>
      </c>
      <c r="B6" s="43" t="s">
        <v>883</v>
      </c>
      <c r="C6" s="36" t="s">
        <v>882</v>
      </c>
      <c r="D6" s="40"/>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85546875" defaultRowHeight="15" x14ac:dyDescent="0.25"/>
  <cols>
    <col min="1" max="217" width="11.7109375" customWidth="1"/>
  </cols>
  <sheetData>
    <row r="1" spans="1:217" x14ac:dyDescent="0.25">
      <c r="A1" s="76" t="s">
        <v>1972</v>
      </c>
      <c r="B1" s="76" t="s">
        <v>1973</v>
      </c>
      <c r="C1" s="76" t="s">
        <v>1974</v>
      </c>
      <c r="D1" s="76" t="s">
        <v>1975</v>
      </c>
      <c r="E1" s="76" t="s">
        <v>1976</v>
      </c>
      <c r="F1" s="76" t="s">
        <v>1977</v>
      </c>
      <c r="G1" s="76" t="s">
        <v>1978</v>
      </c>
      <c r="H1" s="76" t="s">
        <v>1979</v>
      </c>
      <c r="I1" s="76" t="s">
        <v>1980</v>
      </c>
      <c r="J1" s="76" t="s">
        <v>1981</v>
      </c>
      <c r="K1" s="76" t="s">
        <v>1982</v>
      </c>
      <c r="L1" s="76" t="s">
        <v>1983</v>
      </c>
      <c r="M1" s="76" t="s">
        <v>1984</v>
      </c>
      <c r="N1" s="76" t="s">
        <v>1985</v>
      </c>
      <c r="O1" s="76" t="s">
        <v>1986</v>
      </c>
      <c r="P1" s="76" t="s">
        <v>1987</v>
      </c>
      <c r="Q1" s="76" t="s">
        <v>1988</v>
      </c>
      <c r="R1" s="76" t="s">
        <v>1989</v>
      </c>
      <c r="S1" s="76" t="s">
        <v>1990</v>
      </c>
      <c r="T1" s="76" t="s">
        <v>1991</v>
      </c>
      <c r="U1" s="76" t="s">
        <v>1992</v>
      </c>
      <c r="V1" s="76" t="s">
        <v>1993</v>
      </c>
      <c r="W1" s="76" t="s">
        <v>1994</v>
      </c>
      <c r="X1" s="76" t="s">
        <v>1995</v>
      </c>
      <c r="Y1" s="76" t="s">
        <v>1996</v>
      </c>
      <c r="Z1" s="76" t="s">
        <v>1997</v>
      </c>
      <c r="AA1" s="76" t="s">
        <v>1998</v>
      </c>
      <c r="AB1" s="76" t="s">
        <v>1999</v>
      </c>
      <c r="AC1" s="76" t="s">
        <v>2000</v>
      </c>
      <c r="AD1" s="76" t="s">
        <v>2001</v>
      </c>
      <c r="AE1" s="76" t="s">
        <v>2002</v>
      </c>
      <c r="AF1" s="76" t="s">
        <v>2003</v>
      </c>
      <c r="AG1" s="76" t="s">
        <v>2004</v>
      </c>
      <c r="AH1" s="76" t="s">
        <v>2005</v>
      </c>
      <c r="AI1" s="76" t="s">
        <v>2006</v>
      </c>
      <c r="AJ1" s="76" t="s">
        <v>2007</v>
      </c>
      <c r="AK1" s="76" t="s">
        <v>2008</v>
      </c>
      <c r="AL1" s="76" t="s">
        <v>2009</v>
      </c>
      <c r="AM1" s="76" t="s">
        <v>2010</v>
      </c>
      <c r="AN1" s="76" t="s">
        <v>2011</v>
      </c>
      <c r="AO1" s="76" t="s">
        <v>2012</v>
      </c>
      <c r="AP1" s="76" t="s">
        <v>2013</v>
      </c>
      <c r="AQ1" s="76" t="s">
        <v>2014</v>
      </c>
      <c r="AR1" s="76" t="s">
        <v>2015</v>
      </c>
      <c r="AS1" s="76" t="s">
        <v>2016</v>
      </c>
      <c r="AT1" s="76" t="s">
        <v>2017</v>
      </c>
      <c r="AU1" s="76" t="s">
        <v>2018</v>
      </c>
      <c r="AV1" s="76" t="s">
        <v>2019</v>
      </c>
      <c r="AW1" s="76" t="s">
        <v>2020</v>
      </c>
      <c r="AX1" s="76" t="s">
        <v>2021</v>
      </c>
      <c r="AY1" s="76" t="s">
        <v>2022</v>
      </c>
      <c r="AZ1" s="76" t="s">
        <v>2023</v>
      </c>
      <c r="BA1" s="76" t="s">
        <v>2024</v>
      </c>
      <c r="BB1" s="76" t="s">
        <v>2025</v>
      </c>
      <c r="BC1" s="76" t="s">
        <v>2026</v>
      </c>
      <c r="BD1" s="76" t="s">
        <v>2027</v>
      </c>
      <c r="BE1" s="76" t="s">
        <v>2028</v>
      </c>
      <c r="BF1" s="76" t="s">
        <v>2029</v>
      </c>
      <c r="BG1" s="76" t="s">
        <v>2030</v>
      </c>
      <c r="BH1" s="76" t="s">
        <v>2031</v>
      </c>
      <c r="BI1" s="76" t="s">
        <v>2032</v>
      </c>
      <c r="BJ1" s="76" t="s">
        <v>2033</v>
      </c>
      <c r="BK1" s="76" t="s">
        <v>2034</v>
      </c>
      <c r="BL1" s="76" t="s">
        <v>2035</v>
      </c>
      <c r="BM1" s="76" t="s">
        <v>2036</v>
      </c>
      <c r="BN1" s="76" t="s">
        <v>2037</v>
      </c>
      <c r="BO1" s="76" t="s">
        <v>2038</v>
      </c>
      <c r="BP1" s="76" t="s">
        <v>2039</v>
      </c>
      <c r="BQ1" s="76" t="s">
        <v>2040</v>
      </c>
      <c r="BR1" s="76" t="s">
        <v>2041</v>
      </c>
      <c r="BS1" s="76" t="s">
        <v>2042</v>
      </c>
      <c r="BT1" s="76" t="s">
        <v>2043</v>
      </c>
      <c r="BU1" s="76" t="s">
        <v>2044</v>
      </c>
      <c r="BV1" s="76" t="s">
        <v>2045</v>
      </c>
      <c r="BW1" s="76" t="s">
        <v>2046</v>
      </c>
      <c r="BX1" s="76" t="s">
        <v>2047</v>
      </c>
      <c r="BY1" s="76" t="s">
        <v>2048</v>
      </c>
      <c r="BZ1" s="76" t="s">
        <v>2049</v>
      </c>
      <c r="CA1" s="76" t="s">
        <v>2050</v>
      </c>
      <c r="CB1" s="76" t="s">
        <v>2051</v>
      </c>
      <c r="CC1" s="76" t="s">
        <v>2052</v>
      </c>
      <c r="CD1" s="76" t="s">
        <v>2053</v>
      </c>
      <c r="CE1" s="76" t="s">
        <v>2054</v>
      </c>
      <c r="CF1" s="76" t="s">
        <v>2055</v>
      </c>
      <c r="CG1" s="76" t="s">
        <v>2056</v>
      </c>
      <c r="CH1" s="76" t="s">
        <v>2057</v>
      </c>
      <c r="CI1" s="76" t="s">
        <v>2058</v>
      </c>
      <c r="CJ1" s="76" t="s">
        <v>2059</v>
      </c>
      <c r="CK1" s="76" t="s">
        <v>2060</v>
      </c>
      <c r="CL1" s="76" t="s">
        <v>2061</v>
      </c>
      <c r="CM1" s="76" t="s">
        <v>2062</v>
      </c>
      <c r="CN1" s="76" t="s">
        <v>2063</v>
      </c>
      <c r="CO1" s="76" t="s">
        <v>2064</v>
      </c>
      <c r="CP1" s="76" t="s">
        <v>2065</v>
      </c>
      <c r="CQ1" s="76" t="s">
        <v>2066</v>
      </c>
      <c r="CR1" s="76" t="s">
        <v>2067</v>
      </c>
      <c r="CS1" s="76" t="s">
        <v>2068</v>
      </c>
      <c r="CT1" s="76" t="s">
        <v>2069</v>
      </c>
      <c r="CU1" s="76" t="s">
        <v>2070</v>
      </c>
      <c r="CV1" s="76" t="s">
        <v>2071</v>
      </c>
      <c r="CW1" s="76" t="s">
        <v>2072</v>
      </c>
      <c r="CX1" s="76" t="s">
        <v>2073</v>
      </c>
      <c r="CY1" s="76" t="s">
        <v>2074</v>
      </c>
      <c r="CZ1" s="76" t="s">
        <v>2075</v>
      </c>
      <c r="DA1" s="76" t="s">
        <v>2076</v>
      </c>
      <c r="DB1" s="76" t="s">
        <v>2077</v>
      </c>
      <c r="DC1" s="76" t="s">
        <v>2078</v>
      </c>
      <c r="DD1" s="76" t="s">
        <v>2079</v>
      </c>
      <c r="DE1" s="76" t="s">
        <v>2080</v>
      </c>
      <c r="DF1" s="76" t="s">
        <v>2081</v>
      </c>
      <c r="DG1" s="76" t="s">
        <v>2082</v>
      </c>
      <c r="DH1" s="76" t="s">
        <v>2083</v>
      </c>
      <c r="DI1" s="76" t="s">
        <v>2084</v>
      </c>
      <c r="DJ1" s="76" t="s">
        <v>2085</v>
      </c>
      <c r="DK1" s="76" t="s">
        <v>2086</v>
      </c>
      <c r="DL1" s="76" t="s">
        <v>2087</v>
      </c>
      <c r="DM1" s="76" t="s">
        <v>2088</v>
      </c>
      <c r="DN1" s="76" t="s">
        <v>2089</v>
      </c>
      <c r="DO1" s="76" t="s">
        <v>2090</v>
      </c>
      <c r="DP1" s="76" t="s">
        <v>2091</v>
      </c>
      <c r="DQ1" s="76" t="s">
        <v>2092</v>
      </c>
      <c r="DR1" s="76" t="s">
        <v>2093</v>
      </c>
      <c r="DS1" s="76" t="s">
        <v>2094</v>
      </c>
      <c r="DT1" s="76" t="s">
        <v>2095</v>
      </c>
      <c r="DU1" s="76" t="s">
        <v>2096</v>
      </c>
      <c r="DV1" s="76" t="s">
        <v>2097</v>
      </c>
      <c r="DW1" s="76" t="s">
        <v>2098</v>
      </c>
      <c r="DX1" s="76" t="s">
        <v>2099</v>
      </c>
      <c r="DY1" s="76" t="s">
        <v>2100</v>
      </c>
      <c r="DZ1" s="76" t="s">
        <v>2101</v>
      </c>
      <c r="EA1" s="76" t="s">
        <v>2102</v>
      </c>
      <c r="EB1" s="76" t="s">
        <v>2103</v>
      </c>
      <c r="EC1" s="76" t="s">
        <v>2104</v>
      </c>
      <c r="ED1" s="76" t="s">
        <v>2105</v>
      </c>
      <c r="EE1" s="76" t="s">
        <v>2106</v>
      </c>
      <c r="EF1" s="76" t="s">
        <v>2107</v>
      </c>
      <c r="EG1" s="76" t="s">
        <v>2108</v>
      </c>
      <c r="EH1" s="76" t="s">
        <v>2109</v>
      </c>
      <c r="EI1" s="76" t="s">
        <v>2110</v>
      </c>
      <c r="EJ1" s="76" t="s">
        <v>2111</v>
      </c>
      <c r="EK1" s="76" t="s">
        <v>2112</v>
      </c>
      <c r="EL1" s="76" t="s">
        <v>2113</v>
      </c>
      <c r="EM1" s="76" t="s">
        <v>2114</v>
      </c>
      <c r="EN1" s="76" t="s">
        <v>2115</v>
      </c>
      <c r="EO1" s="76" t="s">
        <v>2116</v>
      </c>
      <c r="EP1" s="76" t="s">
        <v>2117</v>
      </c>
      <c r="EQ1" s="76" t="s">
        <v>2118</v>
      </c>
      <c r="ER1" s="76" t="s">
        <v>2119</v>
      </c>
      <c r="ES1" s="76" t="s">
        <v>2120</v>
      </c>
      <c r="ET1" s="76" t="s">
        <v>2121</v>
      </c>
      <c r="EU1" s="76" t="s">
        <v>2122</v>
      </c>
      <c r="EV1" s="76" t="s">
        <v>2123</v>
      </c>
      <c r="EW1" s="76" t="s">
        <v>2124</v>
      </c>
      <c r="EX1" s="76" t="s">
        <v>2125</v>
      </c>
      <c r="EY1" s="76" t="s">
        <v>2126</v>
      </c>
      <c r="EZ1" s="76" t="s">
        <v>2127</v>
      </c>
      <c r="FA1" s="76" t="s">
        <v>2128</v>
      </c>
      <c r="FB1" s="76" t="s">
        <v>2129</v>
      </c>
      <c r="FC1" s="76" t="s">
        <v>2130</v>
      </c>
      <c r="FD1" s="76" t="s">
        <v>2131</v>
      </c>
      <c r="FE1" s="76" t="s">
        <v>2132</v>
      </c>
      <c r="FF1" s="76" t="s">
        <v>2133</v>
      </c>
      <c r="FG1" s="76" t="s">
        <v>2134</v>
      </c>
      <c r="FH1" s="76" t="s">
        <v>2135</v>
      </c>
      <c r="FI1" s="76" t="s">
        <v>2136</v>
      </c>
      <c r="FJ1" s="76" t="s">
        <v>2137</v>
      </c>
      <c r="FK1" s="76" t="s">
        <v>2138</v>
      </c>
      <c r="FL1" s="76" t="s">
        <v>2139</v>
      </c>
      <c r="FM1" s="76" t="s">
        <v>2140</v>
      </c>
      <c r="FN1" s="76" t="s">
        <v>2141</v>
      </c>
      <c r="FO1" s="76" t="s">
        <v>2142</v>
      </c>
      <c r="FP1" s="76" t="s">
        <v>2143</v>
      </c>
      <c r="FQ1" s="76" t="s">
        <v>2144</v>
      </c>
      <c r="FR1" s="76" t="s">
        <v>2145</v>
      </c>
      <c r="FS1" s="76" t="s">
        <v>2146</v>
      </c>
      <c r="FT1" s="76" t="s">
        <v>2147</v>
      </c>
      <c r="FU1" s="76" t="s">
        <v>2148</v>
      </c>
      <c r="FV1" s="76" t="s">
        <v>2149</v>
      </c>
      <c r="FW1" s="76" t="s">
        <v>2150</v>
      </c>
      <c r="FX1" s="76" t="s">
        <v>2151</v>
      </c>
      <c r="FY1" s="76" t="s">
        <v>2152</v>
      </c>
      <c r="FZ1" s="76" t="s">
        <v>2153</v>
      </c>
      <c r="GA1" s="76" t="s">
        <v>2154</v>
      </c>
      <c r="GB1" s="76" t="s">
        <v>2155</v>
      </c>
      <c r="GC1" s="76" t="s">
        <v>2156</v>
      </c>
      <c r="GD1" s="76" t="s">
        <v>2157</v>
      </c>
      <c r="GE1" s="76" t="s">
        <v>2158</v>
      </c>
      <c r="GF1" s="76" t="s">
        <v>2159</v>
      </c>
      <c r="GG1" s="76" t="s">
        <v>2160</v>
      </c>
      <c r="GH1" s="76" t="s">
        <v>2161</v>
      </c>
      <c r="GI1" s="76" t="s">
        <v>2162</v>
      </c>
      <c r="GJ1" s="76" t="s">
        <v>2163</v>
      </c>
      <c r="GK1" s="76" t="s">
        <v>2164</v>
      </c>
      <c r="GL1" s="76" t="s">
        <v>2165</v>
      </c>
      <c r="GM1" s="76" t="s">
        <v>2166</v>
      </c>
      <c r="GN1" s="76" t="s">
        <v>2167</v>
      </c>
      <c r="GO1" s="76" t="s">
        <v>2168</v>
      </c>
      <c r="GP1" s="76" t="s">
        <v>2169</v>
      </c>
      <c r="GQ1" s="76" t="s">
        <v>2170</v>
      </c>
      <c r="GR1" s="76" t="s">
        <v>2171</v>
      </c>
      <c r="GS1" s="76" t="s">
        <v>2172</v>
      </c>
      <c r="GT1" s="76" t="s">
        <v>2173</v>
      </c>
      <c r="GU1" s="76" t="s">
        <v>2174</v>
      </c>
      <c r="GV1" s="76" t="s">
        <v>2175</v>
      </c>
      <c r="GW1" s="76" t="s">
        <v>2176</v>
      </c>
      <c r="GX1" s="76" t="s">
        <v>2177</v>
      </c>
      <c r="GY1" s="76" t="s">
        <v>2178</v>
      </c>
      <c r="GZ1" s="76" t="s">
        <v>2179</v>
      </c>
      <c r="HA1" s="76" t="s">
        <v>2180</v>
      </c>
      <c r="HB1" s="76" t="s">
        <v>2181</v>
      </c>
      <c r="HC1" s="76" t="s">
        <v>2182</v>
      </c>
      <c r="HD1" s="76" t="s">
        <v>2183</v>
      </c>
      <c r="HE1" s="76" t="s">
        <v>2184</v>
      </c>
      <c r="HF1" s="76" t="s">
        <v>2185</v>
      </c>
      <c r="HG1" s="76" t="s">
        <v>2186</v>
      </c>
      <c r="HH1" s="76" t="s">
        <v>2187</v>
      </c>
      <c r="HI1" s="76" t="s">
        <v>2188</v>
      </c>
    </row>
    <row r="2" spans="1:217" x14ac:dyDescent="0.25">
      <c r="A2" s="35" t="s">
        <v>2189</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27957</v>
      </c>
    </row>
    <row r="3" spans="1:217" x14ac:dyDescent="0.25">
      <c r="A3" s="35" t="s">
        <v>2190</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22679.3</v>
      </c>
    </row>
    <row r="4" spans="1:217" x14ac:dyDescent="0.25">
      <c r="A4" s="35" t="s">
        <v>2191</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123.289</v>
      </c>
    </row>
    <row r="5" spans="1:217" x14ac:dyDescent="0.25">
      <c r="A5" s="35" t="s">
        <v>2192</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18914.5</v>
      </c>
    </row>
    <row r="6" spans="1:217" x14ac:dyDescent="0.25">
      <c r="A6" s="35" t="s">
        <v>2193</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15586.7</v>
      </c>
    </row>
    <row r="7" spans="1:217" x14ac:dyDescent="0.25">
      <c r="A7" s="35" t="s">
        <v>2194</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121.351</v>
      </c>
    </row>
    <row r="8" spans="1:217" x14ac:dyDescent="0.25">
      <c r="A8" s="35" t="s">
        <v>2195</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121.268</v>
      </c>
    </row>
    <row r="9" spans="1:217" x14ac:dyDescent="0.25">
      <c r="A9" s="35" t="s">
        <v>2196</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127.92400000000001</v>
      </c>
    </row>
    <row r="10" spans="1:217" x14ac:dyDescent="0.25">
      <c r="A10" s="35" t="s">
        <v>2197</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127.35599999999999</v>
      </c>
    </row>
    <row r="11" spans="1:217" x14ac:dyDescent="0.25">
      <c r="A11" s="35" t="s">
        <v>2198</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130.893</v>
      </c>
    </row>
    <row r="12" spans="1:217" x14ac:dyDescent="0.25">
      <c r="A12" s="35" t="s">
        <v>2199</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25">
      <c r="A13" s="35" t="s">
        <v>2200</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868.3</v>
      </c>
    </row>
    <row r="14" spans="1:217" x14ac:dyDescent="0.25">
      <c r="A14" s="35" t="s">
        <v>2201</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25">
      <c r="A15" s="35" t="s">
        <v>2202</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3979.2</v>
      </c>
    </row>
    <row r="16" spans="1:217" x14ac:dyDescent="0.25">
      <c r="A16" s="35" t="s">
        <v>2203</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25">
      <c r="A17" s="35" t="s">
        <v>2204</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2805.1</v>
      </c>
    </row>
    <row r="18" spans="1:217" x14ac:dyDescent="0.25">
      <c r="A18" s="35" t="s">
        <v>2205</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1847.2</v>
      </c>
    </row>
    <row r="19" spans="1:217" x14ac:dyDescent="0.25">
      <c r="A19" s="35" t="s">
        <v>2206</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c r="HI19">
        <v>595.1</v>
      </c>
    </row>
    <row r="20" spans="1:217" x14ac:dyDescent="0.25">
      <c r="A20" s="35" t="s">
        <v>2207</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4871.8</v>
      </c>
    </row>
    <row r="21" spans="1:217" x14ac:dyDescent="0.25">
      <c r="A21" s="35" t="s">
        <v>2208</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1841.3</v>
      </c>
    </row>
    <row r="22" spans="1:217" x14ac:dyDescent="0.25">
      <c r="A22" s="35" t="s">
        <v>2209</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v>
      </c>
    </row>
    <row r="23" spans="1:217" x14ac:dyDescent="0.25">
      <c r="A23" s="35" t="s">
        <v>2210</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v>
      </c>
    </row>
    <row r="24" spans="1:217" x14ac:dyDescent="0.25">
      <c r="A24" s="35" t="s">
        <v>2211</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3051.8</v>
      </c>
    </row>
    <row r="25" spans="1:217" x14ac:dyDescent="0.25">
      <c r="A25" s="35" t="s">
        <v>2212</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v>
      </c>
    </row>
    <row r="26" spans="1:217" x14ac:dyDescent="0.25">
      <c r="A26" s="35" t="s">
        <v>2213</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2385.9</v>
      </c>
    </row>
    <row r="27" spans="1:217" x14ac:dyDescent="0.25">
      <c r="A27" s="35" t="s">
        <v>2214</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2212.5</v>
      </c>
    </row>
    <row r="28" spans="1:217" x14ac:dyDescent="0.25">
      <c r="A28" s="35" t="s">
        <v>2215</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row>
    <row r="29" spans="1:217" x14ac:dyDescent="0.25">
      <c r="A29" s="35" t="s">
        <v>2216</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c r="HI29">
        <v>429.4</v>
      </c>
    </row>
    <row r="30" spans="1:217" x14ac:dyDescent="0.25">
      <c r="A30" s="35" t="s">
        <v>2217</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1818.5</v>
      </c>
    </row>
    <row r="31" spans="1:217" x14ac:dyDescent="0.25">
      <c r="A31" s="35" t="s">
        <v>2218</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2934</v>
      </c>
    </row>
    <row r="32" spans="1:217" x14ac:dyDescent="0.25">
      <c r="A32" s="35" t="s">
        <v>2219</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941.6</v>
      </c>
    </row>
    <row r="33" spans="1:217" x14ac:dyDescent="0.25">
      <c r="A33" s="35" t="s">
        <v>2220</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592.6</v>
      </c>
    </row>
    <row r="34" spans="1:217" x14ac:dyDescent="0.25">
      <c r="A34" s="35" t="s">
        <v>2221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1677.6</v>
      </c>
    </row>
    <row r="35" spans="1:217" x14ac:dyDescent="0.25">
      <c r="A35" s="35" t="s">
        <v>2222</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c r="HI35">
        <v>165.7</v>
      </c>
    </row>
    <row r="36" spans="1:217" x14ac:dyDescent="0.25">
      <c r="A36" s="35" t="s">
        <v>2223</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25">
      <c r="A37" s="35" t="s">
        <v>2224</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1045.2</v>
      </c>
    </row>
    <row r="38" spans="1:217" x14ac:dyDescent="0.25">
      <c r="A38" s="35" t="s">
        <v>2225</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4017.4</v>
      </c>
    </row>
    <row r="39" spans="1:217" x14ac:dyDescent="0.25">
      <c r="A39" s="35" t="s">
        <v>2226</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646.50400000000002</v>
      </c>
    </row>
    <row r="40" spans="1:217" x14ac:dyDescent="0.25">
      <c r="A40" s="35" t="s">
        <v>2227</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25">
      <c r="A41" s="35" t="s">
        <v>2228</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88.635000000000005</v>
      </c>
    </row>
    <row r="42" spans="1:217" x14ac:dyDescent="0.25">
      <c r="A42" s="35" t="s">
        <v>2229</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99.3</v>
      </c>
    </row>
    <row r="43" spans="1:217" x14ac:dyDescent="0.25">
      <c r="A43" s="35" t="s">
        <v>2230</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25">
      <c r="A44" s="35" t="s">
        <v>2231</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v>
      </c>
    </row>
    <row r="45" spans="1:217" x14ac:dyDescent="0.25">
      <c r="A45" s="35" t="s">
        <v>2232</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25">
      <c r="A46" s="35" t="s">
        <v>2233</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25">
      <c r="A47" s="35" t="s">
        <v>2234</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25">
      <c r="A48" s="35" t="s">
        <v>2235</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25">
      <c r="A49" s="35" t="s">
        <v>2236</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25">
      <c r="A50" s="35" t="s">
        <v>2237</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25">
      <c r="A51" s="35" t="s">
        <v>2238</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25">
      <c r="A52" s="35" t="s">
        <v>2239</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25">
      <c r="A53" s="35" t="s">
        <v>2240</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25">
      <c r="A54" s="35" t="s">
        <v>2241</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25">
      <c r="A55" s="35" t="s">
        <v>2242</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25">
      <c r="A56" s="35" t="s">
        <v>2243</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25">
      <c r="A57" s="35" t="s">
        <v>2244</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25">
      <c r="A58" s="35" t="s">
        <v>2245</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25">
      <c r="A59" s="35" t="s">
        <v>2246</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25">
      <c r="A60" s="35" t="s">
        <v>2247</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25">
      <c r="A61" s="35" t="s">
        <v>2248</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25">
      <c r="A62" s="35" t="s">
        <v>2249</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25">
      <c r="A63" s="35" t="s">
        <v>2250</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25">
      <c r="A64" s="35" t="s">
        <v>2251</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25">
      <c r="A65" s="35" t="s">
        <v>2252</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165.1</v>
      </c>
    </row>
    <row r="66" spans="1:217" x14ac:dyDescent="0.25">
      <c r="A66" s="35" t="s">
        <v>2253</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92.111999999999995</v>
      </c>
    </row>
    <row r="67" spans="1:217" x14ac:dyDescent="0.25">
      <c r="A67" s="35" t="s">
        <v>2254</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row>
    <row r="68" spans="1:217" x14ac:dyDescent="0.25">
      <c r="A68" s="35" t="s">
        <v>2255</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row>
    <row r="69" spans="1:217" x14ac:dyDescent="0.25">
      <c r="A69" s="35" t="s">
        <v>2256</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row>
    <row r="70" spans="1:217" x14ac:dyDescent="0.25">
      <c r="A70" s="35" t="s">
        <v>2257</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row>
    <row r="71" spans="1:217" x14ac:dyDescent="0.25">
      <c r="A71" s="35" t="s">
        <v>2258</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25">
      <c r="A72" s="35" t="s">
        <v>2259</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5387.3333333333303</v>
      </c>
    </row>
    <row r="73" spans="1:217" x14ac:dyDescent="0.25">
      <c r="A73" s="35" t="s">
        <v>2260</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14672.666666666701</v>
      </c>
    </row>
    <row r="74" spans="1:217" x14ac:dyDescent="0.25">
      <c r="A74" s="35" t="s">
        <v>2261</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439792.33333333302</v>
      </c>
    </row>
    <row r="75" spans="1:217" x14ac:dyDescent="0.25">
      <c r="A75" s="35" t="s">
        <v>2262</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4.0474949508111403E-3</v>
      </c>
    </row>
    <row r="76" spans="1:217" x14ac:dyDescent="0.25">
      <c r="A76" s="35" t="s">
        <v>2263</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4.4448491068915796E-3</v>
      </c>
    </row>
    <row r="77" spans="1:217" x14ac:dyDescent="0.25">
      <c r="A77" s="35" t="s">
        <v>2264</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9.7504517181945492E-3</v>
      </c>
    </row>
    <row r="78" spans="1:217" x14ac:dyDescent="0.25">
      <c r="A78" s="35" t="s">
        <v>2265</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1.6207709232130001E-3</v>
      </c>
    </row>
    <row r="79" spans="1:217" x14ac:dyDescent="0.25">
      <c r="A79" s="35" t="s">
        <v>2266</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1.4153613889411601E-3</v>
      </c>
    </row>
    <row r="80" spans="1:217" x14ac:dyDescent="0.25">
      <c r="A80" s="35" t="s">
        <v>2267</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2.4968024079590201E-3</v>
      </c>
    </row>
    <row r="81" spans="1:217" x14ac:dyDescent="0.25">
      <c r="A81" s="35" t="s">
        <v>2268</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12067.3</v>
      </c>
    </row>
    <row r="82" spans="1:217" x14ac:dyDescent="0.25">
      <c r="A82" s="35" t="s">
        <v>2269</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1882.6</v>
      </c>
    </row>
    <row r="83" spans="1:217" x14ac:dyDescent="0.25">
      <c r="A83" s="35" t="s">
        <v>2270</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row>
    <row r="84" spans="1:217" x14ac:dyDescent="0.25">
      <c r="A84" s="35" t="s">
        <v>2271</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3667.3</v>
      </c>
    </row>
    <row r="85" spans="1:217" x14ac:dyDescent="0.25">
      <c r="A85" s="35" t="s">
        <v>2272</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c r="HI85">
        <v>2900.3</v>
      </c>
    </row>
    <row r="86" spans="1:217" x14ac:dyDescent="0.25">
      <c r="A86" s="35" t="s">
        <v>2273</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25">
      <c r="A87" s="35" t="s">
        <v>2274</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50000000000001" customHeight="1" x14ac:dyDescent="0.25">
      <c r="A88" s="35" t="s">
        <v>2275</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1374247</v>
      </c>
    </row>
    <row r="89" spans="1:217" x14ac:dyDescent="0.25">
      <c r="A89" s="35" t="s">
        <v>2276</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I8" sqref="I8"/>
    </sheetView>
  </sheetViews>
  <sheetFormatPr defaultColWidth="10.8554687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0" t="s">
        <v>85</v>
      </c>
      <c r="B1" s="60" t="s">
        <v>86</v>
      </c>
      <c r="C1" s="60" t="s">
        <v>87</v>
      </c>
      <c r="D1" s="60" t="s">
        <v>88</v>
      </c>
      <c r="E1" s="60" t="s">
        <v>89</v>
      </c>
      <c r="F1" s="60" t="s">
        <v>90</v>
      </c>
    </row>
    <row r="2" spans="1:11" x14ac:dyDescent="0.25">
      <c r="C2" s="56" t="str">
        <f>'Haver Pivoted'!A1</f>
        <v>name</v>
      </c>
      <c r="D2" s="61" t="s">
        <v>1940</v>
      </c>
      <c r="E2" s="61" t="s">
        <v>1969</v>
      </c>
      <c r="F2" s="61"/>
      <c r="H2" s="62"/>
    </row>
    <row r="3" spans="1:11" x14ac:dyDescent="0.25">
      <c r="B3" s="56" t="s">
        <v>91</v>
      </c>
      <c r="C3" s="56" t="str">
        <f>'Haver Pivoted'!A2</f>
        <v>gdp</v>
      </c>
      <c r="D3">
        <v>27610.1</v>
      </c>
      <c r="E3" s="56">
        <f>'Haver Pivoted'!HH2</f>
        <v>27610.1</v>
      </c>
      <c r="F3" s="56">
        <f>E3-D3</f>
        <v>0</v>
      </c>
      <c r="G3" s="63">
        <f>F3/D3</f>
        <v>0</v>
      </c>
      <c r="H3" s="64"/>
    </row>
    <row r="4" spans="1:11" x14ac:dyDescent="0.25">
      <c r="B4" s="56" t="s">
        <v>92</v>
      </c>
      <c r="C4" s="56" t="str">
        <f>'Haver Pivoted'!A3</f>
        <v>gdph</v>
      </c>
      <c r="D4">
        <v>22490.7</v>
      </c>
      <c r="E4" s="56">
        <f>'Haver Pivoted'!HH3</f>
        <v>22490.7</v>
      </c>
      <c r="F4" s="56">
        <f t="shared" ref="F4:F67" si="0">E4-D4</f>
        <v>0</v>
      </c>
      <c r="G4" s="63">
        <f t="shared" ref="G4:G67" si="1">F4/D4</f>
        <v>0</v>
      </c>
      <c r="H4" s="64"/>
    </row>
    <row r="5" spans="1:11" x14ac:dyDescent="0.25">
      <c r="B5" s="56" t="s">
        <v>93</v>
      </c>
      <c r="C5" s="56" t="str">
        <f>'Haver Pivoted'!A4</f>
        <v>jgdp</v>
      </c>
      <c r="D5">
        <v>122.792</v>
      </c>
      <c r="E5" s="56">
        <f>'Haver Pivoted'!HH4</f>
        <v>122.792</v>
      </c>
      <c r="F5" s="56">
        <f t="shared" si="0"/>
        <v>0</v>
      </c>
      <c r="G5" s="63">
        <f t="shared" si="1"/>
        <v>0</v>
      </c>
      <c r="H5" s="65"/>
    </row>
    <row r="6" spans="1:11" x14ac:dyDescent="0.25">
      <c r="B6" s="56" t="s">
        <v>94</v>
      </c>
      <c r="C6" s="56" t="str">
        <f>'Haver Pivoted'!A5</f>
        <v>c</v>
      </c>
      <c r="D6">
        <v>18679.5</v>
      </c>
      <c r="E6" s="56">
        <f>'Haver Pivoted'!HH5</f>
        <v>18679.5</v>
      </c>
      <c r="F6" s="56">
        <f t="shared" si="0"/>
        <v>0</v>
      </c>
      <c r="G6" s="63">
        <f t="shared" si="1"/>
        <v>0</v>
      </c>
    </row>
    <row r="7" spans="1:11" x14ac:dyDescent="0.25">
      <c r="B7" s="56" t="s">
        <v>95</v>
      </c>
      <c r="C7" s="56" t="str">
        <f>'Haver Pivoted'!A6</f>
        <v>ch</v>
      </c>
      <c r="D7">
        <v>15461.4</v>
      </c>
      <c r="E7" s="56">
        <f>'Haver Pivoted'!HH6</f>
        <v>15461.4</v>
      </c>
      <c r="F7" s="56">
        <f t="shared" si="0"/>
        <v>0</v>
      </c>
      <c r="G7" s="63">
        <f t="shared" si="1"/>
        <v>0</v>
      </c>
      <c r="K7" s="65"/>
    </row>
    <row r="8" spans="1:11" x14ac:dyDescent="0.25">
      <c r="B8" s="56" t="s">
        <v>96</v>
      </c>
      <c r="C8" s="56" t="str">
        <f>'Haver Pivoted'!A7</f>
        <v>jc</v>
      </c>
      <c r="D8">
        <v>120.81399999999999</v>
      </c>
      <c r="E8" s="56">
        <f>'Haver Pivoted'!HH7</f>
        <v>120.81399999999999</v>
      </c>
      <c r="F8" s="56">
        <f t="shared" si="0"/>
        <v>0</v>
      </c>
      <c r="G8" s="63">
        <f t="shared" si="1"/>
        <v>0</v>
      </c>
    </row>
    <row r="9" spans="1:11" x14ac:dyDescent="0.25">
      <c r="B9" s="56" t="s">
        <v>97</v>
      </c>
      <c r="C9" s="56" t="str">
        <f>'Haver Pivoted'!A8</f>
        <v>jgf</v>
      </c>
      <c r="D9">
        <v>120.09699999999999</v>
      </c>
      <c r="E9" s="56">
        <f>'Haver Pivoted'!HH8</f>
        <v>120.09699999999999</v>
      </c>
      <c r="F9" s="56">
        <f t="shared" si="0"/>
        <v>0</v>
      </c>
      <c r="G9" s="63">
        <f t="shared" si="1"/>
        <v>0</v>
      </c>
    </row>
    <row r="10" spans="1:11" x14ac:dyDescent="0.25">
      <c r="B10" s="56" t="s">
        <v>98</v>
      </c>
      <c r="C10" s="56" t="str">
        <f>'Haver Pivoted'!A9</f>
        <v>jgs</v>
      </c>
      <c r="D10">
        <v>127.717</v>
      </c>
      <c r="E10" s="56">
        <f>'Haver Pivoted'!HH9</f>
        <v>127.717</v>
      </c>
      <c r="F10" s="56">
        <f t="shared" si="0"/>
        <v>0</v>
      </c>
      <c r="G10" s="63">
        <f t="shared" si="1"/>
        <v>0</v>
      </c>
    </row>
    <row r="11" spans="1:11" x14ac:dyDescent="0.25">
      <c r="B11" s="56" t="s">
        <v>99</v>
      </c>
      <c r="C11" s="56" t="str">
        <f>'Haver Pivoted'!A10</f>
        <v>jgse</v>
      </c>
      <c r="D11">
        <v>127.176</v>
      </c>
      <c r="E11" s="56">
        <f>'Haver Pivoted'!HH10</f>
        <v>127.176</v>
      </c>
      <c r="F11" s="56">
        <f t="shared" si="0"/>
        <v>0</v>
      </c>
      <c r="G11" s="63">
        <f t="shared" si="1"/>
        <v>0</v>
      </c>
    </row>
    <row r="12" spans="1:11" x14ac:dyDescent="0.25">
      <c r="B12" s="56" t="s">
        <v>100</v>
      </c>
      <c r="C12" s="56" t="str">
        <f>'Haver Pivoted'!A11</f>
        <v>jgsi</v>
      </c>
      <c r="D12">
        <v>130.56700000000001</v>
      </c>
      <c r="E12" s="56">
        <f>'Haver Pivoted'!HH11</f>
        <v>130.56700000000001</v>
      </c>
      <c r="F12" s="56">
        <f t="shared" si="0"/>
        <v>0</v>
      </c>
      <c r="G12" s="63">
        <f t="shared" si="1"/>
        <v>0</v>
      </c>
    </row>
    <row r="13" spans="1:11" x14ac:dyDescent="0.25">
      <c r="A13" s="56" t="s">
        <v>55</v>
      </c>
      <c r="B13" s="56" t="s">
        <v>55</v>
      </c>
      <c r="C13" s="56" t="str">
        <f>'Haver Pivoted'!A12</f>
        <v>yptmr</v>
      </c>
      <c r="D13">
        <v>946.3</v>
      </c>
      <c r="E13" s="56">
        <f>'Haver Pivoted'!HH12</f>
        <v>946.3</v>
      </c>
      <c r="F13" s="56">
        <f t="shared" si="0"/>
        <v>0</v>
      </c>
      <c r="G13" s="63">
        <f t="shared" si="1"/>
        <v>0</v>
      </c>
      <c r="I13" s="66"/>
    </row>
    <row r="14" spans="1:11" x14ac:dyDescent="0.25">
      <c r="A14" s="56" t="s">
        <v>54</v>
      </c>
      <c r="B14" s="56" t="s">
        <v>101</v>
      </c>
      <c r="C14" s="56" t="str">
        <f>'Haver Pivoted'!A13</f>
        <v>yptmd</v>
      </c>
      <c r="D14">
        <v>880.6</v>
      </c>
      <c r="E14" s="56">
        <f>'Haver Pivoted'!HH13</f>
        <v>880.6</v>
      </c>
      <c r="F14" s="56">
        <f t="shared" si="0"/>
        <v>0</v>
      </c>
      <c r="G14" s="63">
        <f t="shared" si="1"/>
        <v>0</v>
      </c>
    </row>
    <row r="15" spans="1:11" x14ac:dyDescent="0.25">
      <c r="A15" s="56" t="s">
        <v>53</v>
      </c>
      <c r="B15" s="56" t="s">
        <v>102</v>
      </c>
      <c r="C15" s="56" t="str">
        <f>'Haver Pivoted'!A14</f>
        <v>yptu</v>
      </c>
      <c r="D15">
        <v>21</v>
      </c>
      <c r="E15" s="56">
        <f>'Haver Pivoted'!HH14</f>
        <v>21</v>
      </c>
      <c r="F15" s="56">
        <f t="shared" si="0"/>
        <v>0</v>
      </c>
      <c r="G15" s="63">
        <f t="shared" si="1"/>
        <v>0</v>
      </c>
    </row>
    <row r="16" spans="1:11" x14ac:dyDescent="0.25">
      <c r="B16" s="56" t="s">
        <v>57</v>
      </c>
      <c r="C16" s="56" t="str">
        <f>'Haver Pivoted'!A15</f>
        <v>gtfp</v>
      </c>
      <c r="D16">
        <v>3987.8</v>
      </c>
      <c r="E16" s="56">
        <f>'Haver Pivoted'!HH15</f>
        <v>3987.8</v>
      </c>
      <c r="F16" s="56">
        <f t="shared" si="0"/>
        <v>0</v>
      </c>
      <c r="G16" s="63">
        <f t="shared" si="1"/>
        <v>0</v>
      </c>
    </row>
    <row r="17" spans="1:7" x14ac:dyDescent="0.25">
      <c r="B17" s="56" t="s">
        <v>103</v>
      </c>
      <c r="C17" s="56" t="str">
        <f>'Haver Pivoted'!A16</f>
        <v>ypog</v>
      </c>
      <c r="D17">
        <v>131.19999999999999</v>
      </c>
      <c r="E17" s="56">
        <f>'Haver Pivoted'!HH16</f>
        <v>131.19999999999999</v>
      </c>
      <c r="F17" s="56">
        <f t="shared" si="0"/>
        <v>0</v>
      </c>
      <c r="G17" s="63">
        <f t="shared" si="1"/>
        <v>0</v>
      </c>
    </row>
    <row r="18" spans="1:7" x14ac:dyDescent="0.25">
      <c r="B18" s="56" t="s">
        <v>104</v>
      </c>
      <c r="C18" s="56" t="str">
        <f>'Haver Pivoted'!A17</f>
        <v>yptx</v>
      </c>
      <c r="D18">
        <v>2765.3</v>
      </c>
      <c r="E18" s="56">
        <f>'Haver Pivoted'!HH17</f>
        <v>2765.3</v>
      </c>
      <c r="F18" s="56">
        <f t="shared" si="0"/>
        <v>0</v>
      </c>
      <c r="G18" s="63">
        <f t="shared" si="1"/>
        <v>0</v>
      </c>
    </row>
    <row r="19" spans="1:7" x14ac:dyDescent="0.25">
      <c r="B19" s="56" t="s">
        <v>105</v>
      </c>
      <c r="C19" s="56" t="str">
        <f>'Haver Pivoted'!A18</f>
        <v>ytpi</v>
      </c>
      <c r="D19">
        <v>1830.7</v>
      </c>
      <c r="E19" s="56">
        <f>'Haver Pivoted'!HH18</f>
        <v>1830.7</v>
      </c>
      <c r="F19" s="56">
        <f t="shared" si="0"/>
        <v>0</v>
      </c>
      <c r="G19" s="63">
        <f t="shared" si="1"/>
        <v>0</v>
      </c>
    </row>
    <row r="20" spans="1:7" x14ac:dyDescent="0.25">
      <c r="B20" s="56" t="s">
        <v>106</v>
      </c>
      <c r="C20" s="56" t="str">
        <f>'Haver Pivoted'!A19</f>
        <v>yctlg</v>
      </c>
      <c r="D20">
        <v>566.70000000000005</v>
      </c>
      <c r="E20" s="56">
        <f>'Haver Pivoted'!HH19</f>
        <v>566.70000000000005</v>
      </c>
      <c r="F20" s="56">
        <f t="shared" si="0"/>
        <v>0</v>
      </c>
      <c r="G20" s="63">
        <f t="shared" si="1"/>
        <v>0</v>
      </c>
    </row>
    <row r="21" spans="1:7" x14ac:dyDescent="0.25">
      <c r="B21" s="56" t="s">
        <v>107</v>
      </c>
      <c r="C21" s="56" t="str">
        <f>'Haver Pivoted'!A20</f>
        <v>g</v>
      </c>
      <c r="D21">
        <v>4794.8</v>
      </c>
      <c r="E21" s="56">
        <f>'Haver Pivoted'!HH20</f>
        <v>4794.8</v>
      </c>
      <c r="F21" s="56">
        <f t="shared" si="0"/>
        <v>0</v>
      </c>
      <c r="G21" s="63">
        <f t="shared" si="1"/>
        <v>0</v>
      </c>
    </row>
    <row r="22" spans="1:7" x14ac:dyDescent="0.25">
      <c r="B22" s="56" t="s">
        <v>108</v>
      </c>
      <c r="C22" s="56" t="str">
        <f>'Haver Pivoted'!A21</f>
        <v>grcsi</v>
      </c>
      <c r="D22">
        <v>1823.3</v>
      </c>
      <c r="E22" s="56">
        <f>'Haver Pivoted'!HH21</f>
        <v>1823.3</v>
      </c>
      <c r="F22" s="56">
        <f t="shared" si="0"/>
        <v>0</v>
      </c>
      <c r="G22" s="63">
        <f t="shared" si="1"/>
        <v>0</v>
      </c>
    </row>
    <row r="23" spans="1:7" x14ac:dyDescent="0.25">
      <c r="B23" s="56" t="s">
        <v>96</v>
      </c>
      <c r="C23" s="56" t="str">
        <f>'Haver Pivoted'!A22</f>
        <v>dc</v>
      </c>
      <c r="D23">
        <v>120.81399999999999</v>
      </c>
      <c r="E23" s="56">
        <f>'Haver Pivoted'!HH22</f>
        <v>120.81399999999999</v>
      </c>
      <c r="F23" s="56">
        <f t="shared" si="0"/>
        <v>0</v>
      </c>
      <c r="G23" s="63">
        <f t="shared" si="1"/>
        <v>0</v>
      </c>
    </row>
    <row r="24" spans="1:7" x14ac:dyDescent="0.25">
      <c r="A24" s="56" t="s">
        <v>109</v>
      </c>
      <c r="B24" s="56" t="s">
        <v>110</v>
      </c>
      <c r="C24" s="56" t="str">
        <f>'Haver Pivoted'!A23</f>
        <v>gf</v>
      </c>
      <c r="D24">
        <v>1791.9</v>
      </c>
      <c r="E24" s="56">
        <f>'Haver Pivoted'!HH23</f>
        <v>1791.9</v>
      </c>
      <c r="F24" s="56">
        <f t="shared" si="0"/>
        <v>0</v>
      </c>
      <c r="G24" s="63">
        <f t="shared" si="1"/>
        <v>0</v>
      </c>
    </row>
    <row r="25" spans="1:7" x14ac:dyDescent="0.25">
      <c r="A25" s="56" t="s">
        <v>109</v>
      </c>
      <c r="B25" s="56" t="s">
        <v>111</v>
      </c>
      <c r="C25" s="56" t="str">
        <f>'Haver Pivoted'!A24</f>
        <v>gs</v>
      </c>
      <c r="D25">
        <v>3002.9</v>
      </c>
      <c r="E25" s="56">
        <f>'Haver Pivoted'!HH24</f>
        <v>3002.9</v>
      </c>
      <c r="F25" s="56">
        <f t="shared" si="0"/>
        <v>0</v>
      </c>
      <c r="G25" s="63">
        <f t="shared" si="1"/>
        <v>0</v>
      </c>
    </row>
    <row r="26" spans="1:7" x14ac:dyDescent="0.25">
      <c r="B26" s="56" t="s">
        <v>112</v>
      </c>
      <c r="C26" s="56" t="str">
        <f>'Haver Pivoted'!A25</f>
        <v>gfh</v>
      </c>
      <c r="D26">
        <v>1492.3</v>
      </c>
      <c r="E26" s="56">
        <f>'Haver Pivoted'!HH25</f>
        <v>1492.3</v>
      </c>
      <c r="F26" s="56">
        <f t="shared" si="0"/>
        <v>0</v>
      </c>
      <c r="G26" s="63">
        <f t="shared" si="1"/>
        <v>0</v>
      </c>
    </row>
    <row r="27" spans="1:7" x14ac:dyDescent="0.25">
      <c r="B27" s="56" t="s">
        <v>113</v>
      </c>
      <c r="C27" s="56" t="str">
        <f>'Haver Pivoted'!A26</f>
        <v>gsh</v>
      </c>
      <c r="D27">
        <v>2351.4</v>
      </c>
      <c r="E27" s="56">
        <f>'Haver Pivoted'!HH26</f>
        <v>2351.4</v>
      </c>
      <c r="F27" s="56">
        <f t="shared" si="0"/>
        <v>0</v>
      </c>
      <c r="G27" s="63">
        <f t="shared" si="1"/>
        <v>0</v>
      </c>
    </row>
    <row r="28" spans="1:7" x14ac:dyDescent="0.25">
      <c r="A28" s="56" t="s">
        <v>58</v>
      </c>
      <c r="B28" s="56" t="s">
        <v>114</v>
      </c>
      <c r="C28" s="56" t="s">
        <v>115</v>
      </c>
      <c r="D28">
        <v>2188.6999999999998</v>
      </c>
      <c r="E28" s="56">
        <f>'Haver Pivoted'!HH27</f>
        <v>2188.6999999999998</v>
      </c>
      <c r="F28" s="56">
        <f t="shared" si="0"/>
        <v>0</v>
      </c>
      <c r="G28" s="63">
        <f t="shared" si="1"/>
        <v>0</v>
      </c>
    </row>
    <row r="29" spans="1:7" x14ac:dyDescent="0.25">
      <c r="A29" s="56" t="s">
        <v>58</v>
      </c>
      <c r="B29" s="56" t="s">
        <v>116</v>
      </c>
      <c r="C29" s="56" t="s">
        <v>117</v>
      </c>
      <c r="D29">
        <v>171.6</v>
      </c>
      <c r="E29" s="56">
        <f>'Haver Pivoted'!HH28</f>
        <v>171.6</v>
      </c>
      <c r="F29" s="56">
        <f t="shared" si="0"/>
        <v>0</v>
      </c>
      <c r="G29" s="63">
        <f t="shared" si="1"/>
        <v>0</v>
      </c>
    </row>
    <row r="30" spans="1:7" x14ac:dyDescent="0.25">
      <c r="A30" s="56" t="s">
        <v>58</v>
      </c>
      <c r="B30" s="56" t="s">
        <v>118</v>
      </c>
      <c r="C30" s="56" t="s">
        <v>119</v>
      </c>
      <c r="D30">
        <v>418</v>
      </c>
      <c r="E30" s="56">
        <f>'Haver Pivoted'!HH29</f>
        <v>418</v>
      </c>
      <c r="F30" s="56">
        <f t="shared" si="0"/>
        <v>0</v>
      </c>
      <c r="G30" s="63">
        <f t="shared" si="1"/>
        <v>0</v>
      </c>
    </row>
    <row r="31" spans="1:7" x14ac:dyDescent="0.25">
      <c r="A31" s="56" t="s">
        <v>58</v>
      </c>
      <c r="B31" s="56" t="s">
        <v>120</v>
      </c>
      <c r="C31" s="56" t="s">
        <v>121</v>
      </c>
      <c r="D31">
        <v>1801.4</v>
      </c>
      <c r="E31" s="56">
        <f>'Haver Pivoted'!HH30</f>
        <v>1801.4</v>
      </c>
      <c r="F31" s="56">
        <f t="shared" si="0"/>
        <v>0</v>
      </c>
      <c r="G31" s="63">
        <f t="shared" si="1"/>
        <v>0</v>
      </c>
    </row>
    <row r="32" spans="1:7" x14ac:dyDescent="0.25">
      <c r="A32" s="56" t="s">
        <v>122</v>
      </c>
      <c r="B32" s="56" t="s">
        <v>123</v>
      </c>
      <c r="C32" s="56" t="str">
        <f>'Haver Pivoted'!A31</f>
        <v>gftfp</v>
      </c>
      <c r="D32">
        <v>2930.1</v>
      </c>
      <c r="E32" s="56">
        <f>'Haver Pivoted'!HH31</f>
        <v>2930.1</v>
      </c>
      <c r="F32" s="56">
        <f t="shared" si="0"/>
        <v>0</v>
      </c>
      <c r="G32" s="63">
        <f t="shared" si="1"/>
        <v>0</v>
      </c>
    </row>
    <row r="33" spans="1:10" x14ac:dyDescent="0.25">
      <c r="A33" s="56" t="s">
        <v>51</v>
      </c>
      <c r="B33" s="55" t="s">
        <v>124</v>
      </c>
      <c r="C33" s="56" t="str">
        <f>'Haver Pivoted'!A32</f>
        <v>gfeg</v>
      </c>
      <c r="D33">
        <v>918.5</v>
      </c>
      <c r="E33" s="56">
        <f>'Haver Pivoted'!HH32</f>
        <v>918.5</v>
      </c>
      <c r="F33" s="56">
        <f t="shared" si="0"/>
        <v>0</v>
      </c>
      <c r="G33" s="63">
        <f t="shared" si="1"/>
        <v>0</v>
      </c>
    </row>
    <row r="34" spans="1:10" x14ac:dyDescent="0.25">
      <c r="A34" s="56" t="s">
        <v>58</v>
      </c>
      <c r="B34" s="56" t="s">
        <v>125</v>
      </c>
      <c r="C34" s="56" t="str">
        <f>'Haver Pivoted'!A33</f>
        <v>gsrpt</v>
      </c>
      <c r="D34">
        <v>576.6</v>
      </c>
      <c r="E34" s="56">
        <f>'Haver Pivoted'!HH33</f>
        <v>576.6</v>
      </c>
      <c r="F34" s="56">
        <f t="shared" si="0"/>
        <v>0</v>
      </c>
      <c r="G34" s="63">
        <f t="shared" si="1"/>
        <v>0</v>
      </c>
    </row>
    <row r="35" spans="1:10" x14ac:dyDescent="0.25">
      <c r="A35" s="56" t="s">
        <v>58</v>
      </c>
      <c r="B35" s="56" t="s">
        <v>126</v>
      </c>
      <c r="C35" s="56" t="str">
        <f>'Haver Pivoted'!A34</f>
        <v>gsrpri</v>
      </c>
      <c r="D35">
        <v>1659.2</v>
      </c>
      <c r="E35" s="56">
        <f>'Haver Pivoted'!HH34</f>
        <v>1659.2</v>
      </c>
      <c r="F35" s="56">
        <f t="shared" si="0"/>
        <v>0</v>
      </c>
      <c r="G35" s="63">
        <f t="shared" si="1"/>
        <v>0</v>
      </c>
    </row>
    <row r="36" spans="1:10" x14ac:dyDescent="0.25">
      <c r="A36" s="56" t="s">
        <v>58</v>
      </c>
      <c r="B36" s="56" t="s">
        <v>127</v>
      </c>
      <c r="C36" s="56" t="str">
        <f>'Haver Pivoted'!A35</f>
        <v>gsrcp</v>
      </c>
      <c r="D36">
        <v>148.69999999999999</v>
      </c>
      <c r="E36" s="56">
        <f>'Haver Pivoted'!HH35</f>
        <v>148.69999999999999</v>
      </c>
      <c r="F36" s="56">
        <f t="shared" si="0"/>
        <v>0</v>
      </c>
      <c r="G36" s="63">
        <f t="shared" si="1"/>
        <v>0</v>
      </c>
    </row>
    <row r="37" spans="1:10" x14ac:dyDescent="0.25">
      <c r="A37" s="56" t="s">
        <v>58</v>
      </c>
      <c r="B37" s="56" t="s">
        <v>128</v>
      </c>
      <c r="C37" s="56" t="str">
        <f>'Haver Pivoted'!A36</f>
        <v>gsrs</v>
      </c>
      <c r="D37">
        <v>21.9</v>
      </c>
      <c r="E37" s="56">
        <f>'Haver Pivoted'!HH36</f>
        <v>21.9</v>
      </c>
      <c r="F37" s="56">
        <f t="shared" si="0"/>
        <v>0</v>
      </c>
      <c r="G37" s="63">
        <f t="shared" si="1"/>
        <v>0</v>
      </c>
    </row>
    <row r="38" spans="1:10" x14ac:dyDescent="0.25">
      <c r="A38" s="56" t="s">
        <v>57</v>
      </c>
      <c r="B38" s="56" t="s">
        <v>129</v>
      </c>
      <c r="C38" s="56" t="str">
        <f>'Haver Pivoted'!A37</f>
        <v>gstfp</v>
      </c>
      <c r="D38">
        <v>1057.5999999999999</v>
      </c>
      <c r="E38" s="56">
        <f>'Haver Pivoted'!HH37</f>
        <v>1057.5999999999999</v>
      </c>
      <c r="F38" s="56">
        <f t="shared" si="0"/>
        <v>0</v>
      </c>
      <c r="G38" s="63">
        <f t="shared" si="1"/>
        <v>0</v>
      </c>
    </row>
    <row r="39" spans="1:10" x14ac:dyDescent="0.25">
      <c r="B39" s="56" t="s">
        <v>130</v>
      </c>
      <c r="C39" s="56" t="str">
        <f>'Haver Pivoted'!A38</f>
        <v>gset</v>
      </c>
      <c r="D39">
        <v>3985.3</v>
      </c>
      <c r="E39" s="56">
        <f>'Haver Pivoted'!HH38</f>
        <v>3985.3</v>
      </c>
      <c r="F39" s="56">
        <f t="shared" si="0"/>
        <v>0</v>
      </c>
      <c r="G39" s="63">
        <f t="shared" si="1"/>
        <v>0</v>
      </c>
    </row>
    <row r="40" spans="1:10" x14ac:dyDescent="0.25">
      <c r="B40" s="56" t="s">
        <v>131</v>
      </c>
      <c r="C40" s="56" t="str">
        <f>'Haver Pivoted'!A39</f>
        <v>gfeghhx</v>
      </c>
      <c r="D40">
        <v>622.95699999999999</v>
      </c>
      <c r="E40" s="56">
        <f>'Haver Pivoted'!HH39</f>
        <v>622.95699999999999</v>
      </c>
      <c r="F40" s="56">
        <f t="shared" si="0"/>
        <v>0</v>
      </c>
      <c r="G40" s="63">
        <f t="shared" si="1"/>
        <v>0</v>
      </c>
    </row>
    <row r="41" spans="1:10" x14ac:dyDescent="0.25">
      <c r="A41" s="56" t="s">
        <v>132</v>
      </c>
      <c r="B41" s="56" t="s">
        <v>133</v>
      </c>
      <c r="C41" s="56" t="str">
        <f>'Haver Pivoted'!A40</f>
        <v>gfeghdx</v>
      </c>
      <c r="D41">
        <v>590.947</v>
      </c>
      <c r="E41" s="56">
        <f>'Haver Pivoted'!HH40</f>
        <v>590.947</v>
      </c>
      <c r="F41" s="56">
        <f t="shared" si="0"/>
        <v>0</v>
      </c>
      <c r="G41" s="63">
        <f t="shared" si="1"/>
        <v>0</v>
      </c>
    </row>
    <row r="42" spans="1:10" x14ac:dyDescent="0.25">
      <c r="A42" s="56" t="s">
        <v>51</v>
      </c>
      <c r="B42" s="56" t="s">
        <v>134</v>
      </c>
      <c r="C42" s="56" t="str">
        <f>'Haver Pivoted'!A41</f>
        <v>gfeigx</v>
      </c>
      <c r="D42">
        <v>90.495000000000005</v>
      </c>
      <c r="E42" s="56">
        <f>'Haver Pivoted'!HH41</f>
        <v>90.495000000000005</v>
      </c>
      <c r="F42" s="56">
        <f t="shared" si="0"/>
        <v>0</v>
      </c>
      <c r="G42" s="63">
        <f t="shared" si="1"/>
        <v>0</v>
      </c>
    </row>
    <row r="43" spans="1:10" x14ac:dyDescent="0.25">
      <c r="B43" s="56" t="s">
        <v>135</v>
      </c>
      <c r="C43" s="56" t="str">
        <f>'Haver Pivoted'!A42</f>
        <v>gfsub</v>
      </c>
      <c r="D43">
        <v>102.4</v>
      </c>
      <c r="E43" s="56">
        <f>'Haver Pivoted'!HH42</f>
        <v>102.4</v>
      </c>
      <c r="F43" s="56">
        <f t="shared" si="0"/>
        <v>0</v>
      </c>
      <c r="G43" s="63">
        <f t="shared" si="1"/>
        <v>0</v>
      </c>
      <c r="I43" s="67"/>
      <c r="J43" s="64"/>
    </row>
    <row r="44" spans="1:10" x14ac:dyDescent="0.25">
      <c r="B44" s="56" t="s">
        <v>136</v>
      </c>
      <c r="C44" s="56" t="str">
        <f>'Haver Pivoted'!A43</f>
        <v>gssub</v>
      </c>
      <c r="D44">
        <v>0.7</v>
      </c>
      <c r="E44" s="56">
        <f>'Haver Pivoted'!HH43</f>
        <v>0.7</v>
      </c>
      <c r="F44" s="56">
        <f t="shared" si="0"/>
        <v>0</v>
      </c>
      <c r="G44" s="63">
        <f t="shared" si="1"/>
        <v>0</v>
      </c>
      <c r="I44" s="57"/>
      <c r="J44" s="64"/>
    </row>
    <row r="45" spans="1:10" x14ac:dyDescent="0.25">
      <c r="B45" s="56" t="s">
        <v>52</v>
      </c>
      <c r="C45" s="56" t="str">
        <f>'Haver Pivoted'!A44</f>
        <v>gsub</v>
      </c>
      <c r="D45">
        <v>103.1</v>
      </c>
      <c r="E45" s="56">
        <f>'Haver Pivoted'!HH44</f>
        <v>103.1</v>
      </c>
      <c r="F45" s="56">
        <f t="shared" si="0"/>
        <v>0</v>
      </c>
      <c r="G45" s="63">
        <f t="shared" si="1"/>
        <v>0</v>
      </c>
      <c r="I45" s="57"/>
      <c r="J45" s="65"/>
    </row>
    <row r="46" spans="1:10" x14ac:dyDescent="0.25">
      <c r="A46" s="56" t="s">
        <v>56</v>
      </c>
      <c r="B46" s="56" t="s">
        <v>56</v>
      </c>
      <c r="C46" s="56" t="str">
        <f>'Haver Pivoted'!A45</f>
        <v>gftfpe</v>
      </c>
      <c r="D46">
        <v>0</v>
      </c>
      <c r="E46" s="56">
        <f>'Haver Pivoted'!HH45</f>
        <v>0</v>
      </c>
      <c r="F46" s="56">
        <f t="shared" si="0"/>
        <v>0</v>
      </c>
      <c r="G46" s="63" t="e">
        <f t="shared" si="1"/>
        <v>#DIV/0!</v>
      </c>
      <c r="I46" s="57"/>
      <c r="J46" s="65"/>
    </row>
    <row r="47" spans="1:10" x14ac:dyDescent="0.25">
      <c r="B47" s="56" t="s">
        <v>137</v>
      </c>
      <c r="C47" s="56" t="str">
        <f>'Haver Pivoted'!A46</f>
        <v>gftfpr</v>
      </c>
      <c r="D47">
        <v>0</v>
      </c>
      <c r="E47" s="56">
        <f>'Haver Pivoted'!HH46</f>
        <v>0</v>
      </c>
      <c r="F47" s="56">
        <f t="shared" si="0"/>
        <v>0</v>
      </c>
      <c r="G47" s="63" t="e">
        <f t="shared" si="1"/>
        <v>#DIV/0!</v>
      </c>
      <c r="I47" s="57"/>
      <c r="J47" s="65"/>
    </row>
    <row r="48" spans="1:10" x14ac:dyDescent="0.25">
      <c r="A48" s="56" t="s">
        <v>50</v>
      </c>
      <c r="B48" s="56" t="s">
        <v>138</v>
      </c>
      <c r="C48" s="56" t="str">
        <f>'Haver Pivoted'!A47</f>
        <v>gftfpp</v>
      </c>
      <c r="D48">
        <v>0</v>
      </c>
      <c r="E48" s="56">
        <f>'Haver Pivoted'!HH47</f>
        <v>0</v>
      </c>
      <c r="F48" s="56">
        <f t="shared" si="0"/>
        <v>0</v>
      </c>
      <c r="G48" s="63" t="e">
        <f t="shared" si="1"/>
        <v>#DIV/0!</v>
      </c>
      <c r="J48" s="65"/>
    </row>
    <row r="49" spans="1:9" x14ac:dyDescent="0.25">
      <c r="A49" s="56" t="s">
        <v>49</v>
      </c>
      <c r="B49" s="56" t="s">
        <v>139</v>
      </c>
      <c r="C49" s="56" t="str">
        <f>'Haver Pivoted'!A48</f>
        <v>gftfpv</v>
      </c>
      <c r="D49">
        <v>0</v>
      </c>
      <c r="E49" s="56">
        <f>'Haver Pivoted'!HH48</f>
        <v>0</v>
      </c>
      <c r="F49" s="56">
        <f t="shared" si="0"/>
        <v>0</v>
      </c>
      <c r="G49" s="63" t="e">
        <f t="shared" si="1"/>
        <v>#DIV/0!</v>
      </c>
      <c r="H49" s="58"/>
      <c r="I49" s="58"/>
    </row>
    <row r="50" spans="1:9" x14ac:dyDescent="0.25">
      <c r="A50" s="56" t="s">
        <v>140</v>
      </c>
      <c r="B50" s="53" t="s">
        <v>141</v>
      </c>
      <c r="C50" s="56" t="str">
        <f>'Haver Pivoted'!A49</f>
        <v>gfsubp</v>
      </c>
      <c r="D50">
        <v>0</v>
      </c>
      <c r="E50" s="56">
        <f>'Haver Pivoted'!HH49</f>
        <v>0</v>
      </c>
      <c r="F50" s="56">
        <f t="shared" si="0"/>
        <v>0</v>
      </c>
      <c r="G50" s="63" t="e">
        <f t="shared" si="1"/>
        <v>#DIV/0!</v>
      </c>
      <c r="H50" s="49"/>
      <c r="I50" s="50"/>
    </row>
    <row r="51" spans="1:9" x14ac:dyDescent="0.25">
      <c r="A51" s="56" t="s">
        <v>52</v>
      </c>
      <c r="B51" s="53" t="s">
        <v>142</v>
      </c>
      <c r="C51" s="56" t="str">
        <f>'Haver Pivoted'!A50</f>
        <v>gfsubg</v>
      </c>
      <c r="D51">
        <v>0</v>
      </c>
      <c r="E51" s="56">
        <f>'Haver Pivoted'!HH50</f>
        <v>0</v>
      </c>
      <c r="F51" s="56">
        <f t="shared" si="0"/>
        <v>0</v>
      </c>
      <c r="G51" s="63" t="e">
        <f t="shared" si="1"/>
        <v>#DIV/0!</v>
      </c>
      <c r="H51" s="69"/>
      <c r="I51" s="68"/>
    </row>
    <row r="52" spans="1:9" x14ac:dyDescent="0.25">
      <c r="A52" s="56" t="s">
        <v>52</v>
      </c>
      <c r="B52" s="53" t="s">
        <v>143</v>
      </c>
      <c r="C52" s="56" t="str">
        <f>'Haver Pivoted'!A51</f>
        <v>gfsube</v>
      </c>
      <c r="D52">
        <v>0</v>
      </c>
      <c r="E52" s="56">
        <f>'Haver Pivoted'!HH51</f>
        <v>0</v>
      </c>
      <c r="F52" s="56">
        <f t="shared" si="0"/>
        <v>0</v>
      </c>
      <c r="G52" s="63" t="e">
        <f t="shared" si="1"/>
        <v>#DIV/0!</v>
      </c>
      <c r="H52" s="52"/>
      <c r="I52" s="50"/>
    </row>
    <row r="53" spans="1:9" x14ac:dyDescent="0.25">
      <c r="A53" s="56" t="s">
        <v>52</v>
      </c>
      <c r="B53" s="53" t="s">
        <v>144</v>
      </c>
      <c r="C53" s="56" t="str">
        <f>'Haver Pivoted'!A52</f>
        <v>gfsubs</v>
      </c>
      <c r="D53">
        <v>0</v>
      </c>
      <c r="E53" s="56">
        <f>'Haver Pivoted'!HH52</f>
        <v>0</v>
      </c>
      <c r="F53" s="56">
        <f t="shared" si="0"/>
        <v>0</v>
      </c>
      <c r="G53" s="63" t="e">
        <f t="shared" si="1"/>
        <v>#DIV/0!</v>
      </c>
      <c r="H53" s="52"/>
      <c r="I53" s="50"/>
    </row>
    <row r="54" spans="1:9" x14ac:dyDescent="0.25">
      <c r="A54" s="56" t="s">
        <v>52</v>
      </c>
      <c r="B54" s="53" t="s">
        <v>145</v>
      </c>
      <c r="C54" s="56" t="str">
        <f>'Haver Pivoted'!A53</f>
        <v>gfsubf</v>
      </c>
      <c r="D54">
        <v>0</v>
      </c>
      <c r="E54" s="56">
        <f>'Haver Pivoted'!HH53</f>
        <v>0</v>
      </c>
      <c r="F54" s="56">
        <f t="shared" si="0"/>
        <v>0</v>
      </c>
      <c r="G54" s="63" t="e">
        <f t="shared" si="1"/>
        <v>#DIV/0!</v>
      </c>
      <c r="H54" s="49"/>
      <c r="I54" s="50"/>
    </row>
    <row r="55" spans="1:9" x14ac:dyDescent="0.25">
      <c r="A55" s="56" t="s">
        <v>146</v>
      </c>
      <c r="B55" s="53" t="s">
        <v>147</v>
      </c>
      <c r="C55" s="56" t="str">
        <f>'Haver Pivoted'!A54</f>
        <v>gfsubv</v>
      </c>
      <c r="D55">
        <v>0</v>
      </c>
      <c r="E55" s="56">
        <f>'Haver Pivoted'!HH54</f>
        <v>0</v>
      </c>
      <c r="F55" s="56">
        <f t="shared" si="0"/>
        <v>0</v>
      </c>
      <c r="G55" s="63" t="e">
        <f t="shared" si="1"/>
        <v>#DIV/0!</v>
      </c>
    </row>
    <row r="56" spans="1:9" x14ac:dyDescent="0.25">
      <c r="A56" s="56" t="s">
        <v>52</v>
      </c>
      <c r="B56" s="53" t="s">
        <v>148</v>
      </c>
      <c r="C56" s="56" t="str">
        <f>'Haver Pivoted'!A55</f>
        <v>gfsubk</v>
      </c>
      <c r="D56">
        <v>0</v>
      </c>
      <c r="E56" s="56">
        <f>'Haver Pivoted'!HH55</f>
        <v>0</v>
      </c>
      <c r="F56" s="56">
        <f t="shared" si="0"/>
        <v>0</v>
      </c>
      <c r="G56" s="63" t="e">
        <f t="shared" si="1"/>
        <v>#DIV/0!</v>
      </c>
      <c r="H56" s="49"/>
      <c r="I56" s="50"/>
    </row>
    <row r="57" spans="1:9" x14ac:dyDescent="0.25">
      <c r="A57" s="56" t="s">
        <v>51</v>
      </c>
      <c r="B57" s="55" t="s">
        <v>149</v>
      </c>
      <c r="C57" s="56" t="str">
        <f>'Haver Pivoted'!A56</f>
        <v>gfegc</v>
      </c>
      <c r="D57">
        <v>0</v>
      </c>
      <c r="E57" s="56">
        <f>'Haver Pivoted'!HH56</f>
        <v>0</v>
      </c>
      <c r="F57" s="56">
        <f t="shared" si="0"/>
        <v>0</v>
      </c>
      <c r="G57" s="63"/>
      <c r="H57" s="49"/>
      <c r="I57" s="50"/>
    </row>
    <row r="58" spans="1:9" x14ac:dyDescent="0.25">
      <c r="A58" s="56" t="s">
        <v>51</v>
      </c>
      <c r="B58" s="55" t="s">
        <v>150</v>
      </c>
      <c r="C58" s="56" t="str">
        <f>'Haver Pivoted'!A57</f>
        <v>gfege</v>
      </c>
      <c r="D58">
        <v>0</v>
      </c>
      <c r="E58" s="56">
        <f>'Haver Pivoted'!HH57</f>
        <v>0</v>
      </c>
      <c r="F58" s="56">
        <f t="shared" si="0"/>
        <v>0</v>
      </c>
      <c r="G58" s="63" t="e">
        <f t="shared" si="1"/>
        <v>#DIV/0!</v>
      </c>
      <c r="H58" s="49"/>
      <c r="I58" s="50"/>
    </row>
    <row r="59" spans="1:9" x14ac:dyDescent="0.25">
      <c r="A59" s="56" t="s">
        <v>151</v>
      </c>
      <c r="B59" s="55" t="s">
        <v>152</v>
      </c>
      <c r="C59" s="56" t="str">
        <f>'Haver Pivoted'!A58</f>
        <v>gfegv</v>
      </c>
      <c r="D59">
        <v>0</v>
      </c>
      <c r="E59" s="56">
        <f>'Haver Pivoted'!HH58</f>
        <v>0</v>
      </c>
      <c r="F59" s="56">
        <f t="shared" si="0"/>
        <v>0</v>
      </c>
      <c r="G59" s="63" t="e">
        <f t="shared" si="1"/>
        <v>#DIV/0!</v>
      </c>
    </row>
    <row r="60" spans="1:9" x14ac:dyDescent="0.25">
      <c r="A60" s="56" t="s">
        <v>53</v>
      </c>
      <c r="B60" s="56" t="s">
        <v>153</v>
      </c>
      <c r="C60" s="56" t="str">
        <f>'Haver Pivoted'!A59</f>
        <v>yptue</v>
      </c>
      <c r="D60">
        <v>0</v>
      </c>
      <c r="E60" s="56">
        <f>'Haver Pivoted'!HH59</f>
        <v>0</v>
      </c>
      <c r="F60" s="56">
        <f t="shared" si="0"/>
        <v>0</v>
      </c>
      <c r="G60" s="63" t="e">
        <f t="shared" si="1"/>
        <v>#DIV/0!</v>
      </c>
    </row>
    <row r="61" spans="1:9" x14ac:dyDescent="0.25">
      <c r="A61" s="56" t="s">
        <v>53</v>
      </c>
      <c r="B61" s="56" t="s">
        <v>154</v>
      </c>
      <c r="C61" s="56" t="str">
        <f>'Haver Pivoted'!A60</f>
        <v>yptup</v>
      </c>
      <c r="D61">
        <v>0</v>
      </c>
      <c r="E61" s="56">
        <f>'Haver Pivoted'!HH60</f>
        <v>0</v>
      </c>
      <c r="F61" s="56">
        <f t="shared" si="0"/>
        <v>0</v>
      </c>
      <c r="G61" s="63" t="e">
        <f t="shared" si="1"/>
        <v>#DIV/0!</v>
      </c>
    </row>
    <row r="62" spans="1:9" x14ac:dyDescent="0.25">
      <c r="A62" s="56" t="s">
        <v>53</v>
      </c>
      <c r="B62" s="56" t="s">
        <v>155</v>
      </c>
      <c r="C62" s="56" t="str">
        <f>'Haver Pivoted'!A61</f>
        <v>yptuc</v>
      </c>
      <c r="D62">
        <v>0</v>
      </c>
      <c r="E62" s="56">
        <f>'Haver Pivoted'!HH61</f>
        <v>0</v>
      </c>
      <c r="F62" s="56">
        <f t="shared" si="0"/>
        <v>0</v>
      </c>
      <c r="G62" s="63" t="e">
        <f t="shared" si="1"/>
        <v>#DIV/0!</v>
      </c>
    </row>
    <row r="63" spans="1:9" x14ac:dyDescent="0.25">
      <c r="B63" s="56" t="s">
        <v>156</v>
      </c>
      <c r="C63" s="56" t="str">
        <f>'Haver Pivoted'!A62</f>
        <v>gftfpu</v>
      </c>
      <c r="D63">
        <v>0</v>
      </c>
      <c r="E63" s="56">
        <f>'Haver Pivoted'!HH62</f>
        <v>0</v>
      </c>
      <c r="F63" s="56">
        <f t="shared" si="0"/>
        <v>0</v>
      </c>
      <c r="G63" s="63" t="e">
        <f t="shared" si="1"/>
        <v>#DIV/0!</v>
      </c>
      <c r="H63" s="55"/>
      <c r="I63" s="55"/>
    </row>
    <row r="64" spans="1:9" x14ac:dyDescent="0.25">
      <c r="A64" s="56" t="s">
        <v>53</v>
      </c>
      <c r="B64" s="59" t="s">
        <v>157</v>
      </c>
      <c r="C64" s="56" t="str">
        <f>'Haver Pivoted'!A63</f>
        <v>yptub</v>
      </c>
      <c r="D64">
        <v>0</v>
      </c>
      <c r="E64" s="56">
        <f>'Haver Pivoted'!HH63</f>
        <v>0</v>
      </c>
      <c r="F64" s="56">
        <f t="shared" si="0"/>
        <v>0</v>
      </c>
      <c r="G64" s="63" t="e">
        <f t="shared" si="1"/>
        <v>#DIV/0!</v>
      </c>
      <c r="H64" s="55"/>
      <c r="I64" s="55"/>
    </row>
    <row r="65" spans="1:9" x14ac:dyDescent="0.25">
      <c r="A65" s="56" t="s">
        <v>53</v>
      </c>
      <c r="B65" s="56" t="s">
        <v>158</v>
      </c>
      <c r="C65" s="56" t="str">
        <f>'Haver Pivoted'!A64</f>
        <v>yptol</v>
      </c>
      <c r="D65">
        <v>0</v>
      </c>
      <c r="E65" s="56">
        <f>'Haver Pivoted'!HH64</f>
        <v>0</v>
      </c>
      <c r="F65" s="56">
        <f t="shared" si="0"/>
        <v>0</v>
      </c>
      <c r="G65" s="63" t="e">
        <f t="shared" si="1"/>
        <v>#DIV/0!</v>
      </c>
      <c r="H65" s="55"/>
      <c r="I65" s="55"/>
    </row>
    <row r="66" spans="1:9" x14ac:dyDescent="0.25">
      <c r="B66" s="56" t="s">
        <v>159</v>
      </c>
      <c r="C66" s="56" t="str">
        <f>'Haver Pivoted'!A65</f>
        <v>gfctp</v>
      </c>
      <c r="D66">
        <v>561.29999999999995</v>
      </c>
      <c r="E66" s="56">
        <f>'Haver Pivoted'!HH65</f>
        <v>561.29999999999995</v>
      </c>
      <c r="F66" s="56">
        <f t="shared" si="0"/>
        <v>0</v>
      </c>
      <c r="G66" s="63">
        <f t="shared" si="1"/>
        <v>0</v>
      </c>
      <c r="H66" s="55"/>
      <c r="I66" s="55"/>
    </row>
    <row r="67" spans="1:9" x14ac:dyDescent="0.2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25">
      <c r="B68" s="56" t="s">
        <v>161</v>
      </c>
      <c r="C68" s="56" t="str">
        <f>'Haver Pivoted'!A67</f>
        <v>cpiu</v>
      </c>
      <c r="D68">
        <v>306.034333333333</v>
      </c>
      <c r="E68" s="56">
        <f>'Haver Pivoted'!HH67</f>
        <v>306.034333333333</v>
      </c>
      <c r="F68" s="56">
        <f t="shared" ref="F68:F81" si="2">E68-D68</f>
        <v>0</v>
      </c>
      <c r="G68" s="63">
        <f t="shared" ref="G68:G81" si="3">F68/D68</f>
        <v>0</v>
      </c>
      <c r="H68" s="55"/>
      <c r="I68" s="55"/>
    </row>
    <row r="69" spans="1:9" x14ac:dyDescent="0.25">
      <c r="C69" s="56" t="str">
        <f>'Haver Pivoted'!A68</f>
        <v>pcw</v>
      </c>
      <c r="D69">
        <v>300.327333333333</v>
      </c>
      <c r="E69" s="56">
        <f>'Haver Pivoted'!HH68</f>
        <v>300.327333333333</v>
      </c>
      <c r="F69" s="56">
        <f t="shared" si="2"/>
        <v>0</v>
      </c>
      <c r="G69" s="63">
        <f t="shared" si="3"/>
        <v>0</v>
      </c>
    </row>
    <row r="70" spans="1:9" x14ac:dyDescent="0.25">
      <c r="B70" s="56" t="s">
        <v>162</v>
      </c>
      <c r="C70" s="56" t="str">
        <f>'Haver Pivoted'!A69</f>
        <v>gdppothq</v>
      </c>
      <c r="D70">
        <v>22369.7</v>
      </c>
      <c r="E70" s="56">
        <f>'Haver Pivoted'!HH69</f>
        <v>22369.7</v>
      </c>
      <c r="F70" s="56">
        <f t="shared" si="2"/>
        <v>0</v>
      </c>
      <c r="G70" s="63">
        <f t="shared" si="3"/>
        <v>0</v>
      </c>
    </row>
    <row r="71" spans="1:9" x14ac:dyDescent="0.25">
      <c r="B71" s="56" t="s">
        <v>163</v>
      </c>
      <c r="C71" s="56" t="str">
        <f>'Haver Pivoted'!A70</f>
        <v>gdppotq</v>
      </c>
      <c r="D71">
        <v>27476.6</v>
      </c>
      <c r="E71" s="56">
        <f>'Haver Pivoted'!HH70</f>
        <v>27476.6</v>
      </c>
      <c r="F71" s="56">
        <f t="shared" si="2"/>
        <v>0</v>
      </c>
      <c r="G71" s="63">
        <f t="shared" si="3"/>
        <v>0</v>
      </c>
    </row>
    <row r="72" spans="1:9" x14ac:dyDescent="0.25">
      <c r="B72" s="56" t="s">
        <v>164</v>
      </c>
      <c r="C72" s="56" t="str">
        <f>'Haver Pivoted'!A71</f>
        <v>recessq</v>
      </c>
      <c r="D72">
        <v>-1</v>
      </c>
      <c r="E72" s="56">
        <f>'Haver Pivoted'!HH71</f>
        <v>-1</v>
      </c>
      <c r="F72" s="56">
        <f t="shared" si="2"/>
        <v>0</v>
      </c>
      <c r="G72" s="63">
        <f t="shared" si="3"/>
        <v>0</v>
      </c>
    </row>
    <row r="73" spans="1:9" x14ac:dyDescent="0.25">
      <c r="A73" s="56" t="s">
        <v>165</v>
      </c>
      <c r="B73" s="56" t="s">
        <v>166</v>
      </c>
      <c r="C73" s="56" t="str">
        <f>'Haver Pivoted'!A72</f>
        <v>lasgova</v>
      </c>
      <c r="D73">
        <v>5325.3333333333303</v>
      </c>
      <c r="E73" s="56">
        <f>'Haver Pivoted'!HH72</f>
        <v>5325.3333333333303</v>
      </c>
      <c r="F73" s="56">
        <f t="shared" si="2"/>
        <v>0</v>
      </c>
      <c r="G73" s="63">
        <f t="shared" si="3"/>
        <v>0</v>
      </c>
    </row>
    <row r="74" spans="1:9" x14ac:dyDescent="0.25">
      <c r="A74" s="56" t="s">
        <v>165</v>
      </c>
      <c r="B74" s="56" t="s">
        <v>167</v>
      </c>
      <c r="C74" s="56" t="str">
        <f>'Haver Pivoted'!A73</f>
        <v>lalgova</v>
      </c>
      <c r="D74">
        <v>14587</v>
      </c>
      <c r="E74" s="56">
        <f>'Haver Pivoted'!HH73</f>
        <v>14587</v>
      </c>
      <c r="F74" s="56">
        <f t="shared" si="2"/>
        <v>0</v>
      </c>
      <c r="G74" s="63">
        <f t="shared" si="3"/>
        <v>0</v>
      </c>
    </row>
    <row r="75" spans="1:9" x14ac:dyDescent="0.25">
      <c r="A75" s="56" t="s">
        <v>165</v>
      </c>
      <c r="B75" s="56" t="s">
        <v>168</v>
      </c>
      <c r="C75" s="56" t="str">
        <f>'Haver Pivoted'!A74</f>
        <v>cpgs</v>
      </c>
      <c r="D75">
        <v>410267.66666666698</v>
      </c>
      <c r="E75" s="56">
        <f>'Haver Pivoted'!HH74</f>
        <v>410267.66666666698</v>
      </c>
      <c r="F75" s="56">
        <f t="shared" si="2"/>
        <v>0</v>
      </c>
      <c r="G75" s="63">
        <f t="shared" si="3"/>
        <v>0</v>
      </c>
    </row>
    <row r="76" spans="1:9" x14ac:dyDescent="0.25">
      <c r="B76" s="56" t="s">
        <v>169</v>
      </c>
      <c r="C76" s="56" t="str">
        <f>'Haver Pivoted'!A75</f>
        <v>jgdp_growth</v>
      </c>
      <c r="D76">
        <v>8.2355549351746903E-3</v>
      </c>
      <c r="E76" s="56">
        <f>'Haver Pivoted'!HH75</f>
        <v>8.2355549351746903E-3</v>
      </c>
      <c r="F76" s="51">
        <f t="shared" si="2"/>
        <v>0</v>
      </c>
      <c r="G76" s="63">
        <f t="shared" si="3"/>
        <v>0</v>
      </c>
    </row>
    <row r="77" spans="1:9" x14ac:dyDescent="0.25">
      <c r="B77" s="56" t="s">
        <v>170</v>
      </c>
      <c r="C77" s="56" t="str">
        <f>'Haver Pivoted'!A76</f>
        <v>jc_growth</v>
      </c>
      <c r="D77">
        <v>6.4143147512578701E-3</v>
      </c>
      <c r="E77" s="56">
        <f>'Haver Pivoted'!HH76</f>
        <v>6.4143147512578701E-3</v>
      </c>
      <c r="F77" s="51">
        <f t="shared" si="2"/>
        <v>0</v>
      </c>
      <c r="G77" s="63">
        <f t="shared" si="3"/>
        <v>0</v>
      </c>
    </row>
    <row r="78" spans="1:9" x14ac:dyDescent="0.25">
      <c r="B78" s="56" t="s">
        <v>171</v>
      </c>
      <c r="C78" s="56" t="str">
        <f>'Haver Pivoted'!A77</f>
        <v>jgf_growth</v>
      </c>
      <c r="D78">
        <v>9.7870229456919998E-3</v>
      </c>
      <c r="E78" s="56">
        <f>'Haver Pivoted'!HH77</f>
        <v>9.7870229456919998E-3</v>
      </c>
      <c r="F78" s="51">
        <f t="shared" si="2"/>
        <v>0</v>
      </c>
      <c r="G78" s="63">
        <f t="shared" si="3"/>
        <v>0</v>
      </c>
    </row>
    <row r="79" spans="1:9" x14ac:dyDescent="0.25">
      <c r="B79" s="56" t="s">
        <v>172</v>
      </c>
      <c r="C79" s="56" t="str">
        <f>'Haver Pivoted'!A78</f>
        <v>jgs_growth</v>
      </c>
      <c r="D79">
        <v>1.4053530453285799E-2</v>
      </c>
      <c r="E79" s="56">
        <f>'Haver Pivoted'!HH78</f>
        <v>1.4053530453285799E-2</v>
      </c>
      <c r="F79" s="51">
        <f>E79/D79-1</f>
        <v>0</v>
      </c>
      <c r="G79" s="63">
        <f t="shared" si="3"/>
        <v>0</v>
      </c>
    </row>
    <row r="80" spans="1:9" x14ac:dyDescent="0.25">
      <c r="B80" s="56" t="s">
        <v>173</v>
      </c>
      <c r="C80" s="56" t="str">
        <f>'Haver Pivoted'!A79</f>
        <v>jgse_growth</v>
      </c>
      <c r="D80">
        <v>1.6627230287139499E-2</v>
      </c>
      <c r="E80" s="56">
        <f>'Haver Pivoted'!HH79</f>
        <v>1.6627230287139499E-2</v>
      </c>
      <c r="F80" s="51">
        <f t="shared" si="2"/>
        <v>0</v>
      </c>
      <c r="G80" s="63">
        <f t="shared" si="3"/>
        <v>0</v>
      </c>
    </row>
    <row r="81" spans="2:7" x14ac:dyDescent="0.2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abSelected="1" topLeftCell="A64" zoomScaleNormal="100" workbookViewId="0">
      <selection activeCell="J76" sqref="J76:J77"/>
    </sheetView>
  </sheetViews>
  <sheetFormatPr defaultColWidth="10.85546875" defaultRowHeight="15" x14ac:dyDescent="0.25"/>
  <cols>
    <col min="2" max="2" width="39.42578125" customWidth="1"/>
    <col min="3" max="3" width="20.140625" customWidth="1"/>
    <col min="4" max="6" width="9.42578125" customWidth="1"/>
  </cols>
  <sheetData>
    <row r="2" spans="2:11" x14ac:dyDescent="0.25">
      <c r="B2" s="1334" t="s">
        <v>1971</v>
      </c>
      <c r="C2" s="1334"/>
      <c r="D2" s="1334"/>
      <c r="E2" s="1334"/>
      <c r="F2" s="1334"/>
      <c r="G2" s="1334"/>
      <c r="H2" s="1334"/>
      <c r="I2" s="1334"/>
    </row>
    <row r="3" spans="2:11" x14ac:dyDescent="0.25">
      <c r="B3" t="str">
        <f>forecast!A1</f>
        <v>name</v>
      </c>
      <c r="C3" t="str">
        <f>forecast!B1</f>
        <v>variable</v>
      </c>
      <c r="D3" t="str">
        <f>forecast!C1</f>
        <v>2023 Q4</v>
      </c>
      <c r="E3" t="str">
        <f>forecast!D1</f>
        <v>2024 Q1</v>
      </c>
      <c r="F3" t="str">
        <f>forecast!E1</f>
        <v>2024 Q2</v>
      </c>
      <c r="G3" t="s">
        <v>175</v>
      </c>
      <c r="H3" t="s">
        <v>176</v>
      </c>
      <c r="I3" t="s">
        <v>177</v>
      </c>
    </row>
    <row r="4" spans="2:11" x14ac:dyDescent="0.25">
      <c r="B4" t="str">
        <f>forecast!A2</f>
        <v>Consumption Grants</v>
      </c>
      <c r="C4" t="str">
        <f>forecast!B2</f>
        <v>consumption_grants</v>
      </c>
      <c r="D4" s="74">
        <f>forecast!C2</f>
        <v>427.53694400000006</v>
      </c>
      <c r="E4" s="74">
        <f>forecast!D2</f>
        <v>425.03897260832036</v>
      </c>
      <c r="F4" s="74">
        <f>forecast!E2</f>
        <v>405.0704277518426</v>
      </c>
      <c r="G4" s="74">
        <f>forecast!F2</f>
        <v>409.42293694667461</v>
      </c>
      <c r="H4" s="74">
        <f>forecast!G2</f>
        <v>414.0652857</v>
      </c>
      <c r="I4" s="74">
        <f>forecast!H2</f>
        <v>397.1246120326532</v>
      </c>
    </row>
    <row r="5" spans="2:11" x14ac:dyDescent="0.25">
      <c r="B5" t="str">
        <f>forecast!A3</f>
        <v>Investment Grants</v>
      </c>
      <c r="C5" t="str">
        <f>forecast!B3</f>
        <v>investment_grants</v>
      </c>
      <c r="D5" s="74">
        <f>forecast!C3</f>
        <v>77.707285714285717</v>
      </c>
      <c r="E5" s="74">
        <f>forecast!D3</f>
        <v>77.707285714285717</v>
      </c>
      <c r="F5" s="74">
        <f>forecast!E3</f>
        <v>77.707285714285717</v>
      </c>
      <c r="G5" s="74">
        <f>forecast!F3</f>
        <v>77.707285714285717</v>
      </c>
      <c r="H5" s="74">
        <f>forecast!G3</f>
        <v>79.301285714285726</v>
      </c>
      <c r="I5" s="74">
        <f>forecast!H3</f>
        <v>79.301285714285726</v>
      </c>
    </row>
    <row r="6" spans="2:11" x14ac:dyDescent="0.25">
      <c r="B6" t="str">
        <f>forecast!A4</f>
        <v>Federal Purchases (NIPA Consistent)</v>
      </c>
      <c r="C6" t="str">
        <f>forecast!B4</f>
        <v>federal_purchases</v>
      </c>
      <c r="D6" s="74">
        <f>forecast!C4</f>
        <v>1820</v>
      </c>
      <c r="E6" s="74">
        <f>forecast!D4</f>
        <v>1828.5840782674663</v>
      </c>
      <c r="F6" s="74">
        <f>forecast!E4</f>
        <v>1839.9071213072348</v>
      </c>
      <c r="G6" s="74">
        <f>forecast!F4</f>
        <v>1855.7992197083345</v>
      </c>
      <c r="H6" s="74">
        <f>forecast!G4</f>
        <v>1869.5638157259718</v>
      </c>
      <c r="I6" s="74">
        <f>forecast!H4</f>
        <v>1881.1406153944431</v>
      </c>
    </row>
    <row r="7" spans="2:11" x14ac:dyDescent="0.25">
      <c r="B7" t="str">
        <f>forecast!A5</f>
        <v>State Purchases (NIPA Consistent)</v>
      </c>
      <c r="C7" t="str">
        <f>forecast!B5</f>
        <v>state_purchases</v>
      </c>
      <c r="D7" s="74">
        <f>forecast!C5</f>
        <v>3051.8</v>
      </c>
      <c r="E7" s="74">
        <f>forecast!D5</f>
        <v>3085.6013884701142</v>
      </c>
      <c r="F7" s="74">
        <f>forecast!E5</f>
        <v>3116.2849115947884</v>
      </c>
      <c r="G7" s="74">
        <f>forecast!F5</f>
        <v>3145.3745750228036</v>
      </c>
      <c r="H7" s="74">
        <f>forecast!G5</f>
        <v>3175.0542710147729</v>
      </c>
      <c r="I7" s="74">
        <f>forecast!H5</f>
        <v>3204.4876929562201</v>
      </c>
    </row>
    <row r="8" spans="2:11" x14ac:dyDescent="0.25">
      <c r="B8" t="str">
        <f>forecast!A6</f>
        <v>Non-ARP Subsidies + ARP Provider Relief and PPP</v>
      </c>
      <c r="C8" t="str">
        <f>forecast!B6</f>
        <v>federal_subsidies</v>
      </c>
      <c r="D8" s="74">
        <f>forecast!C6</f>
        <v>97.935000000000002</v>
      </c>
      <c r="E8" s="74">
        <f>forecast!D6</f>
        <v>98.266000000000005</v>
      </c>
      <c r="F8" s="74">
        <f>forecast!E6</f>
        <v>98.266000000000005</v>
      </c>
      <c r="G8" s="74">
        <f>forecast!F6</f>
        <v>98.266000000000005</v>
      </c>
      <c r="H8" s="74">
        <f>forecast!G6</f>
        <v>105.36499999999999</v>
      </c>
      <c r="I8" s="74">
        <f>forecast!H6</f>
        <v>105.36499999999999</v>
      </c>
    </row>
    <row r="9" spans="2:11" x14ac:dyDescent="0.25">
      <c r="B9" t="str">
        <f>forecast!A7</f>
        <v>ARP Subsidies less Provider Relief and PPP</v>
      </c>
      <c r="C9" t="str">
        <f>forecast!B7</f>
        <v>federal_aid_to_small_businesses_arp</v>
      </c>
      <c r="D9" s="74">
        <f>forecast!C7</f>
        <v>1.365</v>
      </c>
      <c r="E9" s="74">
        <f>forecast!D7</f>
        <v>1.365</v>
      </c>
      <c r="F9" s="74">
        <f>forecast!E7</f>
        <v>1.365</v>
      </c>
      <c r="G9" s="74">
        <f>forecast!F7</f>
        <v>1.365</v>
      </c>
      <c r="H9" s="74">
        <f>forecast!G7</f>
        <v>-0.90100000000000025</v>
      </c>
      <c r="I9" s="74">
        <f>forecast!H7</f>
        <v>-0.90100000000000025</v>
      </c>
    </row>
    <row r="10" spans="2:11" x14ac:dyDescent="0.25">
      <c r="B10" t="str">
        <f>forecast!A8</f>
        <v>Federal UI</v>
      </c>
      <c r="C10" t="str">
        <f>forecast!B8</f>
        <v>federal_ui</v>
      </c>
      <c r="D10" s="74">
        <f>forecast!C8</f>
        <v>0.28514285714285847</v>
      </c>
      <c r="E10" s="74">
        <f>forecast!D8</f>
        <v>0</v>
      </c>
      <c r="F10" s="74">
        <f>forecast!E8</f>
        <v>0</v>
      </c>
      <c r="G10" s="74">
        <f>forecast!F8</f>
        <v>0</v>
      </c>
      <c r="H10" s="74">
        <f>forecast!G8</f>
        <v>0</v>
      </c>
      <c r="I10" s="74">
        <f>forecast!H8</f>
        <v>0</v>
      </c>
    </row>
    <row r="11" spans="2:11" x14ac:dyDescent="0.25">
      <c r="B11" t="str">
        <f>forecast!A9</f>
        <v>State UI</v>
      </c>
      <c r="C11" t="str">
        <f>forecast!B9</f>
        <v>state_ui</v>
      </c>
      <c r="D11" s="74">
        <f>forecast!C9</f>
        <v>22.414857142857141</v>
      </c>
      <c r="E11" s="74">
        <f>forecast!D9</f>
        <v>23.25714285714286</v>
      </c>
      <c r="F11" s="74">
        <f>forecast!E9</f>
        <v>24.514285714285716</v>
      </c>
      <c r="G11" s="74">
        <f>forecast!F9</f>
        <v>24.985714285714291</v>
      </c>
      <c r="H11" s="74">
        <f>forecast!G9</f>
        <v>25.83428571428572</v>
      </c>
      <c r="I11" s="74">
        <f>forecast!H9</f>
        <v>26.689142857142865</v>
      </c>
    </row>
    <row r="12" spans="2:11" x14ac:dyDescent="0.25">
      <c r="B12" t="str">
        <f>forecast!A10</f>
        <v>Federal Medicaid</v>
      </c>
      <c r="C12" t="str">
        <f>forecast!B10</f>
        <v>medicaid_grants</v>
      </c>
      <c r="D12" s="74">
        <f>forecast!C10</f>
        <v>616.99699999999996</v>
      </c>
      <c r="E12" s="74">
        <f>forecast!D10</f>
        <v>606.91708404312465</v>
      </c>
      <c r="F12" s="74">
        <f>forecast!E10</f>
        <v>601.00825317131967</v>
      </c>
      <c r="G12" s="74">
        <f>forecast!F10</f>
        <v>595.1569495683782</v>
      </c>
      <c r="H12" s="74">
        <f>forecast!G10</f>
        <v>599.08994775464669</v>
      </c>
      <c r="I12" s="74">
        <f>forecast!H10</f>
        <v>603.04893652162571</v>
      </c>
    </row>
    <row r="13" spans="2:11" x14ac:dyDescent="0.25">
      <c r="B13" t="str">
        <f>forecast!A11</f>
        <v>Total Medicaid</v>
      </c>
      <c r="C13" t="str">
        <f>forecast!B11</f>
        <v>medicaid</v>
      </c>
      <c r="D13" s="74">
        <f>forecast!C11</f>
        <v>868.3</v>
      </c>
      <c r="E13" s="74">
        <f>forecast!D11</f>
        <v>905.84639409421584</v>
      </c>
      <c r="F13" s="74">
        <f>forecast!E11</f>
        <v>897.02724353928306</v>
      </c>
      <c r="G13" s="74">
        <f>forecast!F11</f>
        <v>888.29395457966893</v>
      </c>
      <c r="H13" s="74">
        <f>forecast!G11</f>
        <v>894.16410112633832</v>
      </c>
      <c r="I13" s="74">
        <f>forecast!H11</f>
        <v>900.07303958451598</v>
      </c>
    </row>
    <row r="14" spans="2:11" x14ac:dyDescent="0.25">
      <c r="B14" t="str">
        <f>forecast!A12</f>
        <v>Medicare</v>
      </c>
      <c r="C14" t="str">
        <f>forecast!B12</f>
        <v>medicare</v>
      </c>
      <c r="D14" s="74">
        <f>forecast!C12</f>
        <v>951.3</v>
      </c>
      <c r="E14" s="74">
        <f>forecast!D12</f>
        <v>960.04445976512864</v>
      </c>
      <c r="F14" s="74">
        <f>forecast!E12</f>
        <v>982.29155475727316</v>
      </c>
      <c r="G14" s="74">
        <f>forecast!F12</f>
        <v>1005.0541813277266</v>
      </c>
      <c r="H14" s="74">
        <f>forecast!G12</f>
        <v>1020.2898522178465</v>
      </c>
      <c r="I14" s="74">
        <f>forecast!H12</f>
        <v>1035.7564814699977</v>
      </c>
      <c r="K14" s="72"/>
    </row>
    <row r="15" spans="2:11" x14ac:dyDescent="0.25">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K15" s="35"/>
    </row>
    <row r="16" spans="2:11" x14ac:dyDescent="0.25">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K16" s="35"/>
    </row>
    <row r="17" spans="2:11" x14ac:dyDescent="0.25">
      <c r="B17" t="str">
        <f>forecast!A15</f>
        <v>ARP Other Vulnerable</v>
      </c>
      <c r="C17" t="str">
        <f>forecast!B15</f>
        <v>federal_other_vulnerable_arp</v>
      </c>
      <c r="D17" s="74">
        <f>forecast!C15</f>
        <v>4.2219999999999995</v>
      </c>
      <c r="E17" s="74">
        <f>forecast!D15</f>
        <v>4.2219999999999995</v>
      </c>
      <c r="F17" s="74">
        <f>forecast!E15</f>
        <v>4.2219999999999995</v>
      </c>
      <c r="G17" s="74">
        <f>forecast!F15</f>
        <v>4.2219999999999995</v>
      </c>
      <c r="H17" s="74">
        <f>forecast!G15</f>
        <v>2.3719999999999999</v>
      </c>
      <c r="I17" s="74">
        <f>forecast!H15</f>
        <v>2.3719999999999999</v>
      </c>
      <c r="K17" s="35"/>
    </row>
    <row r="18" spans="2:11" x14ac:dyDescent="0.25">
      <c r="B18" t="str">
        <f>forecast!A16</f>
        <v xml:space="preserve">ARP Other Direct Aid plus Provider Relief </v>
      </c>
      <c r="C18" t="str">
        <f>forecast!B16</f>
        <v>federal_other_direct_aid_arp</v>
      </c>
      <c r="D18" s="74">
        <f>forecast!C16</f>
        <v>1.4790000000000001</v>
      </c>
      <c r="E18" s="74">
        <f>forecast!D16</f>
        <v>1.4790000000000001</v>
      </c>
      <c r="F18" s="74">
        <f>forecast!E16</f>
        <v>1.4790000000000001</v>
      </c>
      <c r="G18" s="74">
        <f>forecast!F16</f>
        <v>1.4790000000000001</v>
      </c>
      <c r="H18" s="74">
        <f>forecast!G16</f>
        <v>1.63</v>
      </c>
      <c r="I18" s="74">
        <f>forecast!H16</f>
        <v>1.63</v>
      </c>
      <c r="K18" s="35"/>
    </row>
    <row r="19" spans="2:11" x14ac:dyDescent="0.25">
      <c r="B19" t="str">
        <f>forecast!A17</f>
        <v>Other Federal Social Benefits (including all SNAP)</v>
      </c>
      <c r="C19" t="str">
        <f>forecast!B17</f>
        <v>federal_social_benefits</v>
      </c>
      <c r="D19" s="74">
        <f>forecast!C17</f>
        <v>1954.2990000000002</v>
      </c>
      <c r="E19" s="74">
        <f>forecast!D17</f>
        <v>2006.9034662613335</v>
      </c>
      <c r="F19" s="74">
        <f>forecast!E17</f>
        <v>2013.8367995946669</v>
      </c>
      <c r="G19" s="74">
        <f>forecast!F17</f>
        <v>2020.7701329280003</v>
      </c>
      <c r="H19" s="74">
        <f>forecast!G17</f>
        <v>2029.2314662613337</v>
      </c>
      <c r="I19" s="74">
        <f>forecast!H17</f>
        <v>2070.6112103028831</v>
      </c>
    </row>
    <row r="20" spans="2:11" x14ac:dyDescent="0.25">
      <c r="B20" t="str">
        <f>forecast!A18</f>
        <v>State Social Benefits ex Medicaid</v>
      </c>
      <c r="C20" t="str">
        <f>forecast!B18</f>
        <v>state_social_benefits</v>
      </c>
      <c r="D20" s="74">
        <f>forecast!C18</f>
        <v>193.12402555814535</v>
      </c>
      <c r="E20" s="74">
        <f>forecast!D18</f>
        <v>196.29831211574134</v>
      </c>
      <c r="F20" s="74">
        <f>forecast!E18</f>
        <v>199.52477289205825</v>
      </c>
      <c r="G20" s="74">
        <f>forecast!F18</f>
        <v>202.80426544959073</v>
      </c>
      <c r="H20" s="74">
        <f>forecast!G18</f>
        <v>206.137661446175</v>
      </c>
      <c r="I20" s="74">
        <f>forecast!H18</f>
        <v>209.52584686666717</v>
      </c>
    </row>
    <row r="21" spans="2:11" x14ac:dyDescent="0.25">
      <c r="B21" t="str">
        <f>forecast!A19</f>
        <v>Federal Non-Corporate Taxes</v>
      </c>
      <c r="C21" t="str">
        <f>forecast!B19</f>
        <v>federal_non_corporate_taxes</v>
      </c>
      <c r="D21" s="74">
        <f>forecast!C19</f>
        <v>4200.6000000000004</v>
      </c>
      <c r="E21" s="74">
        <f>forecast!D19</f>
        <v>4407.3304337474447</v>
      </c>
      <c r="F21" s="74">
        <f>forecast!E19</f>
        <v>4435.3774172156645</v>
      </c>
      <c r="G21" s="74">
        <f>forecast!F19</f>
        <v>4463.6187188208378</v>
      </c>
      <c r="H21" s="74">
        <f>forecast!G19</f>
        <v>4498.0670391494805</v>
      </c>
      <c r="I21" s="74">
        <f>forecast!H19</f>
        <v>4571.1229021772006</v>
      </c>
    </row>
    <row r="22" spans="2:11" x14ac:dyDescent="0.25">
      <c r="B22" t="str">
        <f>forecast!A20</f>
        <v>State Non-Corporate Taxes</v>
      </c>
      <c r="C22" t="str">
        <f>forecast!B20</f>
        <v>state_non_corporate_taxes</v>
      </c>
      <c r="D22" s="74">
        <f>forecast!C20</f>
        <v>2293</v>
      </c>
      <c r="E22" s="74">
        <f>forecast!D20</f>
        <v>2316.1686297255928</v>
      </c>
      <c r="F22" s="74">
        <f>forecast!E20</f>
        <v>2337.5883974330204</v>
      </c>
      <c r="G22" s="74">
        <f>forecast!F20</f>
        <v>2360.0841674105036</v>
      </c>
      <c r="H22" s="74">
        <f>forecast!G20</f>
        <v>2383.5993279660834</v>
      </c>
      <c r="I22" s="74">
        <f>forecast!H20</f>
        <v>2409.1352607529634</v>
      </c>
    </row>
    <row r="23" spans="2:11" x14ac:dyDescent="0.25">
      <c r="B23" t="str">
        <f>forecast!A21</f>
        <v>Federal Corporate Taxes</v>
      </c>
      <c r="C23" t="str">
        <f>forecast!B21</f>
        <v>federal_corporate_taxes</v>
      </c>
      <c r="D23" s="74">
        <f>forecast!C21</f>
        <v>427.63194290122209</v>
      </c>
      <c r="E23" s="74">
        <f>forecast!D21</f>
        <v>437.48583394611023</v>
      </c>
      <c r="F23" s="74">
        <f>forecast!E21</f>
        <v>447.5667874692262</v>
      </c>
      <c r="G23" s="74">
        <f>forecast!F21</f>
        <v>457.88003565436259</v>
      </c>
      <c r="H23" s="74">
        <f>forecast!G21</f>
        <v>466.64560814573349</v>
      </c>
      <c r="I23" s="74">
        <f>forecast!H21</f>
        <v>475.57898716964229</v>
      </c>
    </row>
    <row r="24" spans="2:11" x14ac:dyDescent="0.25">
      <c r="B24" t="str">
        <f>forecast!A22</f>
        <v>State Corporate Taxes</v>
      </c>
      <c r="C24" s="35" t="str">
        <f>forecast!B22</f>
        <v>state_corporate_taxes</v>
      </c>
      <c r="D24" s="74">
        <f>forecast!C22</f>
        <v>146.92064689245049</v>
      </c>
      <c r="E24" s="74">
        <f>forecast!D22</f>
        <v>148.03139458989045</v>
      </c>
      <c r="F24" s="74">
        <f>forecast!E22</f>
        <v>148.78627166582055</v>
      </c>
      <c r="G24" s="74">
        <f>forecast!F22</f>
        <v>149.10979041264773</v>
      </c>
      <c r="H24" s="74">
        <f>forecast!G22</f>
        <v>150.40386539995646</v>
      </c>
      <c r="I24" s="74">
        <f>forecast!H22</f>
        <v>151.04011893538325</v>
      </c>
    </row>
    <row r="25" spans="2:11" x14ac:dyDescent="0.25">
      <c r="B25" s="35" t="str">
        <f>forecast!A23</f>
        <v>Federal Student Loans</v>
      </c>
      <c r="C25" s="35" t="str">
        <f>forecast!B23</f>
        <v>federal_student_loans</v>
      </c>
      <c r="D25" s="74">
        <f>forecast!C23</f>
        <v>2.1006180000000003</v>
      </c>
      <c r="E25" s="74">
        <f>forecast!D23</f>
        <v>2.5815300000000003</v>
      </c>
      <c r="F25" s="74">
        <f>forecast!E23</f>
        <v>2.6040450000000002</v>
      </c>
      <c r="G25" s="74">
        <f>forecast!F23</f>
        <v>2.626465</v>
      </c>
      <c r="H25" s="74">
        <f>forecast!G23</f>
        <v>2.6498349999999999</v>
      </c>
      <c r="I25" s="74">
        <f>forecast!H23</f>
        <v>2.6454420000000001</v>
      </c>
    </row>
    <row r="26" spans="2:11" x14ac:dyDescent="0.25">
      <c r="B26" s="35"/>
      <c r="C26" s="35"/>
      <c r="D26" s="74"/>
      <c r="E26" s="74"/>
      <c r="F26" s="74"/>
      <c r="G26" s="74"/>
      <c r="H26" s="74"/>
      <c r="I26" s="74"/>
    </row>
    <row r="27" spans="2:11" x14ac:dyDescent="0.25">
      <c r="B27" s="76" t="s">
        <v>1935</v>
      </c>
      <c r="C27" s="35"/>
      <c r="D27" s="74"/>
      <c r="E27" s="74"/>
      <c r="F27" s="74"/>
      <c r="G27" s="74"/>
      <c r="H27" s="74"/>
      <c r="I27" s="74"/>
    </row>
    <row r="28" spans="2:11" x14ac:dyDescent="0.25">
      <c r="B28" s="35" t="s">
        <v>1716</v>
      </c>
      <c r="C28" s="35"/>
      <c r="D28" s="77">
        <f>Deflators!X45</f>
        <v>1.7898288181300792E-2</v>
      </c>
      <c r="E28" s="77">
        <f>Deflators!Y45</f>
        <v>3.0028432984637133E-2</v>
      </c>
      <c r="F28" s="77">
        <f>Deflators!Z45</f>
        <v>2.7261380221050395E-2</v>
      </c>
      <c r="G28" s="77">
        <f>Deflators!AA45</f>
        <v>2.4142963947836771E-2</v>
      </c>
      <c r="H28" s="77">
        <f>Deflators!AB45</f>
        <v>2.2024345405476264E-2</v>
      </c>
      <c r="I28" s="77">
        <f>Deflators!AC45</f>
        <v>2.2420730666689481E-2</v>
      </c>
    </row>
    <row r="29" spans="2:11" x14ac:dyDescent="0.25">
      <c r="B29" s="35" t="s">
        <v>1717</v>
      </c>
      <c r="C29" s="35"/>
      <c r="D29" s="77">
        <f>Deflators!X48</f>
        <v>3.9575951716406488E-2</v>
      </c>
      <c r="E29" s="77">
        <f>Deflators!Y48</f>
        <v>2.368922809614471E-2</v>
      </c>
      <c r="F29" s="77">
        <f>Deflators!Z48</f>
        <v>2.5560753162319871E-2</v>
      </c>
      <c r="G29" s="77">
        <f>Deflators!AA48</f>
        <v>2.6823859858580823E-2</v>
      </c>
      <c r="H29" s="77">
        <f>Deflators!AB48</f>
        <v>2.8273165683778689E-2</v>
      </c>
      <c r="I29" s="77">
        <f>Deflators!AC48</f>
        <v>2.6045669819017236E-2</v>
      </c>
    </row>
    <row r="30" spans="2:11" x14ac:dyDescent="0.25">
      <c r="B30" s="35" t="s">
        <v>1718</v>
      </c>
      <c r="C30" s="35"/>
      <c r="D30" s="77">
        <f>Deflators!X49</f>
        <v>6.4988621204677965E-3</v>
      </c>
      <c r="E30" s="77">
        <f>Deflators!Y49</f>
        <v>0.03</v>
      </c>
      <c r="F30" s="77">
        <f>Deflators!Z49</f>
        <v>2.2528728595983205E-2</v>
      </c>
      <c r="G30" s="77">
        <f>Deflators!AA49</f>
        <v>2.5806854841063931E-2</v>
      </c>
      <c r="H30" s="77">
        <f>Deflators!AB49</f>
        <v>2.5253398906930347E-2</v>
      </c>
      <c r="I30" s="77">
        <f>Deflators!AC49</f>
        <v>2.6714706322067405E-2</v>
      </c>
    </row>
    <row r="31" spans="2:11" x14ac:dyDescent="0.25">
      <c r="B31" s="35" t="s">
        <v>1719</v>
      </c>
      <c r="C31" s="35"/>
      <c r="D31" s="77">
        <f>Deflators!X50</f>
        <v>5.6734763882242412E-3</v>
      </c>
      <c r="E31" s="77">
        <f>Deflators!Y50</f>
        <v>0.03</v>
      </c>
      <c r="F31" s="77">
        <f>Deflators!Z50</f>
        <v>2.2528728595983205E-2</v>
      </c>
      <c r="G31" s="77">
        <f>Deflators!AA50</f>
        <v>2.5806854841063931E-2</v>
      </c>
      <c r="H31" s="77">
        <f>Deflators!AB50</f>
        <v>2.5253398906930347E-2</v>
      </c>
      <c r="I31" s="77">
        <f>Deflators!AC50</f>
        <v>2.6714706322067405E-2</v>
      </c>
    </row>
    <row r="32" spans="2:11" x14ac:dyDescent="0.25">
      <c r="B32" s="35" t="s">
        <v>1720</v>
      </c>
      <c r="C32" s="35"/>
      <c r="D32" s="77">
        <f>Deflators!X51</f>
        <v>1.0024676064772642E-2</v>
      </c>
      <c r="E32" s="77">
        <f>Deflators!Y51</f>
        <v>0.03</v>
      </c>
      <c r="F32" s="77">
        <f>Deflators!Z51</f>
        <v>2.2528728595983205E-2</v>
      </c>
      <c r="G32" s="77">
        <f>Deflators!AA51</f>
        <v>2.5806854841063931E-2</v>
      </c>
      <c r="H32" s="77">
        <f>Deflators!AB51</f>
        <v>2.5253398906930347E-2</v>
      </c>
      <c r="I32" s="77">
        <f>Deflators!AC51</f>
        <v>2.6714706322067405E-2</v>
      </c>
    </row>
    <row r="33" spans="2:9" x14ac:dyDescent="0.25">
      <c r="D33" s="77"/>
    </row>
    <row r="34" spans="2:9" x14ac:dyDescent="0.25">
      <c r="B34" s="1334" t="s">
        <v>1970</v>
      </c>
      <c r="C34" s="1334"/>
      <c r="D34" s="1334"/>
      <c r="E34" s="1334"/>
      <c r="F34" s="1334"/>
      <c r="G34" s="1334"/>
      <c r="H34" s="1334"/>
      <c r="I34" s="1334"/>
    </row>
    <row r="35" spans="2:9" x14ac:dyDescent="0.25">
      <c r="B35" t="s">
        <v>178</v>
      </c>
      <c r="C35" t="s">
        <v>179</v>
      </c>
      <c r="D35" t="s">
        <v>189</v>
      </c>
      <c r="E35" t="s">
        <v>190</v>
      </c>
      <c r="F35" t="s">
        <v>191</v>
      </c>
      <c r="G35" t="s">
        <v>175</v>
      </c>
      <c r="H35" t="s">
        <v>176</v>
      </c>
      <c r="I35" t="s">
        <v>177</v>
      </c>
    </row>
    <row r="36" spans="2:9" x14ac:dyDescent="0.25">
      <c r="B36" t="s">
        <v>192</v>
      </c>
      <c r="C36" t="s">
        <v>193</v>
      </c>
      <c r="D36" s="74">
        <v>396.73694399999999</v>
      </c>
      <c r="E36" s="74">
        <v>393.93548768661208</v>
      </c>
      <c r="F36" s="74">
        <v>373.660467548111</v>
      </c>
      <c r="G36" s="74">
        <v>377.70348163536869</v>
      </c>
      <c r="H36" s="74">
        <v>382.03328569999996</v>
      </c>
      <c r="I36" s="74">
        <v>364.77698771407654</v>
      </c>
    </row>
    <row r="37" spans="2:9" x14ac:dyDescent="0.25">
      <c r="B37" t="s">
        <v>134</v>
      </c>
      <c r="C37" t="s">
        <v>194</v>
      </c>
      <c r="D37" s="74">
        <v>77.707285714285717</v>
      </c>
      <c r="E37" s="74">
        <v>77.707285714285717</v>
      </c>
      <c r="F37" s="74">
        <v>77.707285714285717</v>
      </c>
      <c r="G37" s="74">
        <v>77.707285714285717</v>
      </c>
      <c r="H37" s="74">
        <v>79.301285714285726</v>
      </c>
      <c r="I37" s="74">
        <v>79.301285714285726</v>
      </c>
    </row>
    <row r="38" spans="2:9" x14ac:dyDescent="0.25">
      <c r="B38" t="s">
        <v>195</v>
      </c>
      <c r="C38" t="s">
        <v>196</v>
      </c>
      <c r="D38" s="74">
        <v>1820.1</v>
      </c>
      <c r="E38" s="74">
        <v>1828.6845499201183</v>
      </c>
      <c r="F38" s="74">
        <v>1840.0082151051088</v>
      </c>
      <c r="G38" s="74">
        <v>1855.9011866984283</v>
      </c>
      <c r="H38" s="74">
        <v>1869.6665390125502</v>
      </c>
      <c r="I38" s="74">
        <v>1881.2439747689155</v>
      </c>
    </row>
    <row r="39" spans="2:9" x14ac:dyDescent="0.25">
      <c r="B39" t="s">
        <v>197</v>
      </c>
      <c r="C39" t="s">
        <v>198</v>
      </c>
      <c r="D39" s="74">
        <v>3046.4</v>
      </c>
      <c r="E39" s="74">
        <v>3076.4507289476264</v>
      </c>
      <c r="F39" s="74">
        <v>3107.0432570156763</v>
      </c>
      <c r="G39" s="74">
        <v>3134.5347428459445</v>
      </c>
      <c r="H39" s="74">
        <v>3161.8240853980487</v>
      </c>
      <c r="I39" s="74">
        <v>3191.1348607317905</v>
      </c>
    </row>
    <row r="40" spans="2:9" x14ac:dyDescent="0.25">
      <c r="B40" t="s">
        <v>199</v>
      </c>
      <c r="C40" t="s">
        <v>200</v>
      </c>
      <c r="D40" s="74">
        <v>98.135000000000005</v>
      </c>
      <c r="E40" s="74">
        <v>98.266000000000005</v>
      </c>
      <c r="F40" s="74">
        <v>98.266000000000005</v>
      </c>
      <c r="G40" s="74">
        <v>98.266000000000005</v>
      </c>
      <c r="H40" s="74">
        <v>105.36499999999999</v>
      </c>
      <c r="I40" s="74">
        <v>105.36499999999999</v>
      </c>
    </row>
    <row r="41" spans="2:9" x14ac:dyDescent="0.25">
      <c r="B41" t="s">
        <v>201</v>
      </c>
      <c r="C41" t="s">
        <v>202</v>
      </c>
      <c r="D41" s="74">
        <v>1.365</v>
      </c>
      <c r="E41" s="74">
        <v>1.365</v>
      </c>
      <c r="F41" s="74">
        <v>1.365</v>
      </c>
      <c r="G41" s="74">
        <v>1.365</v>
      </c>
      <c r="H41" s="74">
        <v>-0.90100000000000025</v>
      </c>
      <c r="I41" s="74">
        <v>-0.90100000000000025</v>
      </c>
    </row>
    <row r="42" spans="2:9" x14ac:dyDescent="0.25">
      <c r="B42" t="s">
        <v>203</v>
      </c>
      <c r="C42" t="s">
        <v>204</v>
      </c>
      <c r="D42" s="74">
        <v>0.28514285714285847</v>
      </c>
      <c r="E42" s="74">
        <v>0</v>
      </c>
      <c r="F42" s="74">
        <v>0</v>
      </c>
      <c r="G42" s="74">
        <v>0</v>
      </c>
      <c r="H42" s="74">
        <v>0</v>
      </c>
      <c r="I42" s="74">
        <v>0</v>
      </c>
    </row>
    <row r="43" spans="2:9" x14ac:dyDescent="0.25">
      <c r="B43" t="s">
        <v>205</v>
      </c>
      <c r="C43" t="s">
        <v>206</v>
      </c>
      <c r="D43" s="74">
        <v>22.414857142857141</v>
      </c>
      <c r="E43" s="74">
        <v>23.25714285714286</v>
      </c>
      <c r="F43" s="74">
        <v>24.514285714285716</v>
      </c>
      <c r="G43" s="74">
        <v>24.985714285714291</v>
      </c>
      <c r="H43" s="74">
        <v>25.83428571428572</v>
      </c>
      <c r="I43" s="74">
        <v>26.689142857142865</v>
      </c>
    </row>
    <row r="44" spans="2:9" x14ac:dyDescent="0.25">
      <c r="B44" t="s">
        <v>207</v>
      </c>
      <c r="C44" t="s">
        <v>208</v>
      </c>
      <c r="D44" s="74">
        <v>616.99699999999996</v>
      </c>
      <c r="E44" s="74">
        <v>593.92815729490223</v>
      </c>
      <c r="F44" s="74">
        <v>581.34418413949913</v>
      </c>
      <c r="G44" s="74">
        <v>569.02683646468802</v>
      </c>
      <c r="H44" s="74">
        <v>572.2414795528415</v>
      </c>
      <c r="I44" s="74">
        <v>575.47428334892993</v>
      </c>
    </row>
    <row r="45" spans="2:9" x14ac:dyDescent="0.25">
      <c r="B45" t="s">
        <v>209</v>
      </c>
      <c r="C45" t="s">
        <v>210</v>
      </c>
      <c r="D45" s="74">
        <v>855.9</v>
      </c>
      <c r="E45" s="74">
        <v>860.76544535493088</v>
      </c>
      <c r="F45" s="74">
        <v>842.52780310072342</v>
      </c>
      <c r="G45" s="74">
        <v>824.67657458650444</v>
      </c>
      <c r="H45" s="74">
        <v>829.33547761281386</v>
      </c>
      <c r="I45" s="74">
        <v>834.02070050569569</v>
      </c>
    </row>
    <row r="46" spans="2:9" x14ac:dyDescent="0.25">
      <c r="B46" t="s">
        <v>55</v>
      </c>
      <c r="C46" t="s">
        <v>211</v>
      </c>
      <c r="D46" s="74">
        <v>951.3</v>
      </c>
      <c r="E46" s="74">
        <v>960.04445976512864</v>
      </c>
      <c r="F46" s="74">
        <v>982.29155475727316</v>
      </c>
      <c r="G46" s="74">
        <v>1005.0541813277266</v>
      </c>
      <c r="H46" s="74">
        <v>1020.2898522178465</v>
      </c>
      <c r="I46" s="74">
        <v>1035.7564814699977</v>
      </c>
    </row>
    <row r="47" spans="2:9" x14ac:dyDescent="0.25">
      <c r="B47" t="s">
        <v>212</v>
      </c>
      <c r="C47" t="s">
        <v>213</v>
      </c>
      <c r="D47" s="74">
        <v>0</v>
      </c>
      <c r="E47" s="74">
        <v>0</v>
      </c>
      <c r="F47" s="74">
        <v>0</v>
      </c>
      <c r="G47" s="74">
        <v>0</v>
      </c>
      <c r="H47" s="74">
        <v>0</v>
      </c>
      <c r="I47" s="74">
        <v>0</v>
      </c>
    </row>
    <row r="48" spans="2:9" x14ac:dyDescent="0.25">
      <c r="B48" t="s">
        <v>214</v>
      </c>
      <c r="C48" t="s">
        <v>215</v>
      </c>
      <c r="D48" s="74">
        <v>0</v>
      </c>
      <c r="E48" s="74">
        <v>0</v>
      </c>
      <c r="F48" s="74">
        <v>0</v>
      </c>
      <c r="G48" s="74">
        <v>0</v>
      </c>
      <c r="H48" s="74">
        <v>0</v>
      </c>
      <c r="I48" s="74">
        <v>0</v>
      </c>
    </row>
    <row r="49" spans="2:12" x14ac:dyDescent="0.25">
      <c r="B49" t="s">
        <v>216</v>
      </c>
      <c r="C49" t="s">
        <v>217</v>
      </c>
      <c r="D49" s="74">
        <v>4.2219999999999995</v>
      </c>
      <c r="E49" s="74">
        <v>4.2219999999999995</v>
      </c>
      <c r="F49" s="74">
        <v>4.2219999999999995</v>
      </c>
      <c r="G49" s="74">
        <v>4.2219999999999995</v>
      </c>
      <c r="H49" s="74">
        <v>2.3719999999999999</v>
      </c>
      <c r="I49" s="74">
        <v>2.3719999999999999</v>
      </c>
    </row>
    <row r="50" spans="2:12" x14ac:dyDescent="0.25">
      <c r="B50" t="s">
        <v>800</v>
      </c>
      <c r="C50" t="s">
        <v>219</v>
      </c>
      <c r="D50" s="74">
        <v>1.4790000000000001</v>
      </c>
      <c r="E50" s="74">
        <v>1.4790000000000001</v>
      </c>
      <c r="F50" s="74">
        <v>1.4790000000000001</v>
      </c>
      <c r="G50" s="74">
        <v>1.4790000000000001</v>
      </c>
      <c r="H50" s="74">
        <v>1.63</v>
      </c>
      <c r="I50" s="74">
        <v>1.63</v>
      </c>
    </row>
    <row r="51" spans="2:12" x14ac:dyDescent="0.25">
      <c r="B51" t="s">
        <v>220</v>
      </c>
      <c r="C51" t="s">
        <v>221</v>
      </c>
      <c r="D51" s="74">
        <v>1952.4989999999998</v>
      </c>
      <c r="E51" s="74">
        <v>2005.1035983573331</v>
      </c>
      <c r="F51" s="74">
        <v>2012.0369316906665</v>
      </c>
      <c r="G51" s="74">
        <v>2018.9702650239999</v>
      </c>
      <c r="H51" s="74">
        <v>2027.4315983573333</v>
      </c>
      <c r="I51" s="74">
        <v>2068.8114395265948</v>
      </c>
    </row>
    <row r="52" spans="2:12" x14ac:dyDescent="0.25">
      <c r="B52" t="s">
        <v>222</v>
      </c>
      <c r="C52" t="s">
        <v>223</v>
      </c>
      <c r="D52" s="74">
        <v>193.12402555814535</v>
      </c>
      <c r="E52" s="74">
        <v>196.29831211574134</v>
      </c>
      <c r="F52" s="74">
        <v>199.52477289205825</v>
      </c>
      <c r="G52" s="74">
        <v>202.80426544959073</v>
      </c>
      <c r="H52" s="74">
        <v>206.137661446175</v>
      </c>
      <c r="I52" s="74">
        <v>209.52584686666717</v>
      </c>
    </row>
    <row r="53" spans="2:12" x14ac:dyDescent="0.25">
      <c r="B53" t="s">
        <v>224</v>
      </c>
      <c r="C53" t="s">
        <v>225</v>
      </c>
      <c r="D53" s="74">
        <v>4201.1000000000004</v>
      </c>
      <c r="E53" s="74">
        <v>4404.8503747005952</v>
      </c>
      <c r="F53" s="74">
        <v>4432.8581391859452</v>
      </c>
      <c r="G53" s="74">
        <v>4461.0598252732052</v>
      </c>
      <c r="H53" s="74">
        <v>4495.4359016783155</v>
      </c>
      <c r="I53" s="74">
        <v>4568.549025110301</v>
      </c>
    </row>
    <row r="54" spans="2:12" x14ac:dyDescent="0.25">
      <c r="B54" t="s">
        <v>226</v>
      </c>
      <c r="C54" t="s">
        <v>227</v>
      </c>
      <c r="D54" s="74">
        <v>2259</v>
      </c>
      <c r="E54" s="74">
        <v>2282.7208422910926</v>
      </c>
      <c r="F54" s="74">
        <v>2303.7625798611316</v>
      </c>
      <c r="G54" s="74">
        <v>2325.8994375431857</v>
      </c>
      <c r="H54" s="74">
        <v>2349.0386424044827</v>
      </c>
      <c r="I54" s="74">
        <v>2374.1840016644824</v>
      </c>
    </row>
    <row r="55" spans="2:12" x14ac:dyDescent="0.25">
      <c r="B55" t="s">
        <v>228</v>
      </c>
      <c r="C55" t="s">
        <v>229</v>
      </c>
      <c r="D55" s="74">
        <v>427.63194290122209</v>
      </c>
      <c r="E55" s="74">
        <v>437.48583394611023</v>
      </c>
      <c r="F55" s="74">
        <v>447.5667874692262</v>
      </c>
      <c r="G55" s="74">
        <v>457.88003565436259</v>
      </c>
      <c r="H55" s="74">
        <v>466.64560814573349</v>
      </c>
      <c r="I55" s="74">
        <v>475.57898716964229</v>
      </c>
    </row>
    <row r="56" spans="2:12" x14ac:dyDescent="0.25">
      <c r="B56" t="s">
        <v>230</v>
      </c>
      <c r="C56" s="35" t="s">
        <v>231</v>
      </c>
      <c r="D56" s="74">
        <v>146.92064689245049</v>
      </c>
      <c r="E56" s="74">
        <v>148.03139458989045</v>
      </c>
      <c r="F56" s="74">
        <v>148.78627166582055</v>
      </c>
      <c r="G56" s="74">
        <v>149.10979041264773</v>
      </c>
      <c r="H56" s="74">
        <v>150.40386539995646</v>
      </c>
      <c r="I56" s="74">
        <v>151.04011893538325</v>
      </c>
    </row>
    <row r="57" spans="2:12" x14ac:dyDescent="0.25">
      <c r="B57" s="35" t="s">
        <v>1390</v>
      </c>
      <c r="C57" s="35" t="s">
        <v>1389</v>
      </c>
      <c r="D57" s="74">
        <v>2.1006180000000003</v>
      </c>
      <c r="E57" s="74">
        <v>2.5815300000000003</v>
      </c>
      <c r="F57" s="74">
        <v>2.6040450000000002</v>
      </c>
      <c r="G57" s="74">
        <v>2.626465</v>
      </c>
      <c r="H57" s="74">
        <v>2.6498349999999999</v>
      </c>
      <c r="I57" s="74">
        <v>2.6454420000000001</v>
      </c>
    </row>
    <row r="58" spans="2:12" x14ac:dyDescent="0.25">
      <c r="B58" s="35"/>
      <c r="C58" s="35"/>
      <c r="D58" s="74"/>
      <c r="E58" s="74"/>
      <c r="F58" s="74"/>
      <c r="G58" s="74"/>
      <c r="H58" s="74"/>
      <c r="I58" s="74"/>
    </row>
    <row r="59" spans="2:12" x14ac:dyDescent="0.25">
      <c r="B59" s="76" t="s">
        <v>1935</v>
      </c>
      <c r="C59" s="35"/>
    </row>
    <row r="60" spans="2:12" x14ac:dyDescent="0.25">
      <c r="B60" s="35" t="s">
        <v>1716</v>
      </c>
      <c r="C60" s="35"/>
      <c r="D60" s="77">
        <v>1.816673233400401E-2</v>
      </c>
      <c r="E60" s="77">
        <v>1.8528432984637133E-2</v>
      </c>
      <c r="F60" s="77">
        <v>2.1261380221050397E-2</v>
      </c>
      <c r="G60" s="77">
        <v>2.2142963947836769E-2</v>
      </c>
      <c r="H60" s="77">
        <v>2.2024345405476264E-2</v>
      </c>
      <c r="I60" s="77">
        <v>2.2420730666689481E-2</v>
      </c>
      <c r="J60" s="70"/>
      <c r="K60" s="70"/>
      <c r="L60" s="70"/>
    </row>
    <row r="61" spans="2:12" x14ac:dyDescent="0.25">
      <c r="B61" s="35" t="s">
        <v>1717</v>
      </c>
      <c r="C61" s="35"/>
      <c r="D61" s="77">
        <v>4.0639355547248623E-2</v>
      </c>
      <c r="E61" s="77">
        <v>2.368922809614471E-2</v>
      </c>
      <c r="F61" s="77">
        <v>2.5560753162319871E-2</v>
      </c>
      <c r="G61" s="77">
        <v>2.6823859858580823E-2</v>
      </c>
      <c r="H61" s="77">
        <v>2.8273165683778689E-2</v>
      </c>
      <c r="I61" s="77">
        <v>2.6045669819017236E-2</v>
      </c>
      <c r="J61" s="70"/>
      <c r="K61" s="70"/>
      <c r="L61" s="70"/>
    </row>
    <row r="62" spans="2:12" x14ac:dyDescent="0.25">
      <c r="B62" s="35" t="s">
        <v>1718</v>
      </c>
      <c r="C62" s="35"/>
      <c r="D62" s="77">
        <v>4.8947611435543603E-3</v>
      </c>
      <c r="E62" s="77">
        <v>0.03</v>
      </c>
      <c r="F62" s="77">
        <v>2.2528728595983205E-2</v>
      </c>
      <c r="G62" s="77">
        <v>2.5806854841063931E-2</v>
      </c>
      <c r="H62" s="77">
        <v>2.5253398906930347E-2</v>
      </c>
      <c r="I62" s="77">
        <v>2.6714706322067405E-2</v>
      </c>
      <c r="J62" s="70"/>
      <c r="K62" s="70"/>
      <c r="L62" s="70"/>
    </row>
    <row r="63" spans="2:12" x14ac:dyDescent="0.25">
      <c r="B63" s="35" t="s">
        <v>1719</v>
      </c>
      <c r="C63" s="35"/>
      <c r="D63" s="77">
        <v>3.8427270645171596E-3</v>
      </c>
      <c r="E63" s="77">
        <v>0.03</v>
      </c>
      <c r="F63" s="77">
        <v>2.2528728595983205E-2</v>
      </c>
      <c r="G63" s="77">
        <v>2.5806854841063931E-2</v>
      </c>
      <c r="H63" s="77">
        <v>2.5253398906930347E-2</v>
      </c>
      <c r="I63" s="77">
        <v>2.6714706322067405E-2</v>
      </c>
      <c r="J63" s="70"/>
      <c r="K63" s="70"/>
      <c r="L63" s="70"/>
    </row>
    <row r="64" spans="2:12" x14ac:dyDescent="0.25">
      <c r="B64" s="35" t="s">
        <v>1720</v>
      </c>
      <c r="C64" s="35"/>
      <c r="D64" s="77">
        <v>9.3766531961727573E-3</v>
      </c>
      <c r="E64" s="77">
        <v>0.03</v>
      </c>
      <c r="F64" s="77">
        <v>2.2528728595983205E-2</v>
      </c>
      <c r="G64" s="77">
        <v>2.5806854841063931E-2</v>
      </c>
      <c r="H64" s="77">
        <v>2.5253398906930347E-2</v>
      </c>
      <c r="I64" s="77">
        <v>2.6714706322067405E-2</v>
      </c>
      <c r="J64" s="70"/>
      <c r="K64" s="70"/>
      <c r="L64" s="70"/>
    </row>
    <row r="65" spans="2:9" x14ac:dyDescent="0.25">
      <c r="D65" s="75"/>
      <c r="E65" s="75"/>
      <c r="F65" s="75"/>
      <c r="G65" s="75"/>
      <c r="H65" s="75"/>
      <c r="I65" s="75"/>
    </row>
    <row r="66" spans="2:9" x14ac:dyDescent="0.25">
      <c r="B66" s="1334" t="s">
        <v>232</v>
      </c>
      <c r="C66" s="1334"/>
      <c r="D66" s="1334"/>
      <c r="E66" s="1334"/>
      <c r="F66" s="1334"/>
      <c r="G66" s="1334"/>
      <c r="H66" s="1334"/>
      <c r="I66" s="1334"/>
    </row>
    <row r="67" spans="2:9" x14ac:dyDescent="0.25">
      <c r="B67" t="s">
        <v>178</v>
      </c>
      <c r="C67" t="s">
        <v>179</v>
      </c>
      <c r="D67" t="s">
        <v>189</v>
      </c>
      <c r="E67" t="s">
        <v>190</v>
      </c>
      <c r="F67" t="s">
        <v>191</v>
      </c>
      <c r="G67" t="s">
        <v>175</v>
      </c>
      <c r="H67" t="s">
        <v>176</v>
      </c>
      <c r="I67" t="s">
        <v>177</v>
      </c>
    </row>
    <row r="68" spans="2:9" x14ac:dyDescent="0.25">
      <c r="B68" s="35" t="s">
        <v>192</v>
      </c>
      <c r="C68" s="35" t="s">
        <v>193</v>
      </c>
      <c r="D68" s="74">
        <f t="shared" ref="D68:I68" si="0">D4-D36</f>
        <v>30.800000000000068</v>
      </c>
      <c r="E68" s="74">
        <f t="shared" si="0"/>
        <v>31.103484921708286</v>
      </c>
      <c r="F68" s="74">
        <f t="shared" si="0"/>
        <v>31.4099602037316</v>
      </c>
      <c r="G68" s="74">
        <f t="shared" si="0"/>
        <v>31.719455311305921</v>
      </c>
      <c r="H68" s="74">
        <f t="shared" si="0"/>
        <v>32.032000000000039</v>
      </c>
      <c r="I68" s="74">
        <f t="shared" si="0"/>
        <v>32.347624318576663</v>
      </c>
    </row>
    <row r="69" spans="2:9" x14ac:dyDescent="0.25">
      <c r="B69" s="35" t="s">
        <v>134</v>
      </c>
      <c r="C69" s="35" t="s">
        <v>194</v>
      </c>
      <c r="D69" s="74">
        <f t="shared" ref="D69:I69" si="1">D5-D37</f>
        <v>0</v>
      </c>
      <c r="E69" s="74">
        <f t="shared" si="1"/>
        <v>0</v>
      </c>
      <c r="F69" s="74">
        <f t="shared" si="1"/>
        <v>0</v>
      </c>
      <c r="G69" s="74">
        <f t="shared" si="1"/>
        <v>0</v>
      </c>
      <c r="H69" s="74">
        <f t="shared" si="1"/>
        <v>0</v>
      </c>
      <c r="I69" s="74">
        <f t="shared" si="1"/>
        <v>0</v>
      </c>
    </row>
    <row r="70" spans="2:9" x14ac:dyDescent="0.25">
      <c r="B70" s="35" t="s">
        <v>195</v>
      </c>
      <c r="C70" s="35" t="s">
        <v>196</v>
      </c>
      <c r="D70" s="74">
        <f t="shared" ref="D70:I70" si="2">D6-D38</f>
        <v>-9.9999999999909051E-2</v>
      </c>
      <c r="E70" s="74">
        <f t="shared" si="2"/>
        <v>-0.1004716526520042</v>
      </c>
      <c r="F70" s="74">
        <f t="shared" si="2"/>
        <v>-0.1010937978740003</v>
      </c>
      <c r="G70" s="74">
        <f t="shared" si="2"/>
        <v>-0.10196699009384247</v>
      </c>
      <c r="H70" s="74">
        <f t="shared" si="2"/>
        <v>-0.10272328657833896</v>
      </c>
      <c r="I70" s="74">
        <f t="shared" si="2"/>
        <v>-0.10335937447234755</v>
      </c>
    </row>
    <row r="71" spans="2:9" x14ac:dyDescent="0.25">
      <c r="B71" s="35" t="s">
        <v>197</v>
      </c>
      <c r="C71" s="35" t="s">
        <v>198</v>
      </c>
      <c r="D71" s="74">
        <f>D7-D39</f>
        <v>5.4000000000000909</v>
      </c>
      <c r="E71" s="74">
        <f t="shared" ref="E71:I71" si="3">E7-E39</f>
        <v>9.1506595224877856</v>
      </c>
      <c r="F71" s="74">
        <f t="shared" si="3"/>
        <v>9.241654579112037</v>
      </c>
      <c r="G71" s="74">
        <f t="shared" si="3"/>
        <v>10.83983217685909</v>
      </c>
      <c r="H71" s="74">
        <f t="shared" si="3"/>
        <v>13.230185616724157</v>
      </c>
      <c r="I71" s="74">
        <f t="shared" si="3"/>
        <v>13.352832224429676</v>
      </c>
    </row>
    <row r="72" spans="2:9" x14ac:dyDescent="0.25">
      <c r="B72" s="35" t="s">
        <v>199</v>
      </c>
      <c r="C72" s="35" t="s">
        <v>200</v>
      </c>
      <c r="D72" s="74">
        <f>D8-D40</f>
        <v>-0.20000000000000284</v>
      </c>
      <c r="E72" s="74">
        <f t="shared" ref="E72:I72" si="4">E8-E40</f>
        <v>0</v>
      </c>
      <c r="F72" s="74">
        <f t="shared" si="4"/>
        <v>0</v>
      </c>
      <c r="G72" s="74">
        <f t="shared" si="4"/>
        <v>0</v>
      </c>
      <c r="H72" s="74">
        <f t="shared" si="4"/>
        <v>0</v>
      </c>
      <c r="I72" s="74">
        <f t="shared" si="4"/>
        <v>0</v>
      </c>
    </row>
    <row r="73" spans="2:9" x14ac:dyDescent="0.25">
      <c r="B73" s="35" t="s">
        <v>201</v>
      </c>
      <c r="C73" s="35" t="s">
        <v>202</v>
      </c>
      <c r="D73" s="74">
        <f t="shared" ref="D73:I73" si="5">D9-D41</f>
        <v>0</v>
      </c>
      <c r="E73" s="74">
        <f t="shared" si="5"/>
        <v>0</v>
      </c>
      <c r="F73" s="74">
        <f t="shared" si="5"/>
        <v>0</v>
      </c>
      <c r="G73" s="74">
        <f t="shared" si="5"/>
        <v>0</v>
      </c>
      <c r="H73" s="74">
        <f t="shared" si="5"/>
        <v>0</v>
      </c>
      <c r="I73" s="74">
        <f t="shared" si="5"/>
        <v>0</v>
      </c>
    </row>
    <row r="74" spans="2:9" x14ac:dyDescent="0.25">
      <c r="B74" s="35" t="s">
        <v>203</v>
      </c>
      <c r="C74" s="35" t="s">
        <v>204</v>
      </c>
      <c r="D74" s="74">
        <f t="shared" ref="D74:I74" si="6">D10-D42</f>
        <v>0</v>
      </c>
      <c r="E74" s="74">
        <f t="shared" si="6"/>
        <v>0</v>
      </c>
      <c r="F74" s="74">
        <f t="shared" si="6"/>
        <v>0</v>
      </c>
      <c r="G74" s="74">
        <f t="shared" si="6"/>
        <v>0</v>
      </c>
      <c r="H74" s="74">
        <f t="shared" si="6"/>
        <v>0</v>
      </c>
      <c r="I74" s="74">
        <f t="shared" si="6"/>
        <v>0</v>
      </c>
    </row>
    <row r="75" spans="2:9" x14ac:dyDescent="0.25">
      <c r="B75" s="35" t="s">
        <v>205</v>
      </c>
      <c r="C75" s="35" t="s">
        <v>206</v>
      </c>
      <c r="D75" s="74">
        <f t="shared" ref="D75:I75" si="7">D11-D43</f>
        <v>0</v>
      </c>
      <c r="E75" s="74">
        <f t="shared" si="7"/>
        <v>0</v>
      </c>
      <c r="F75" s="74">
        <f t="shared" si="7"/>
        <v>0</v>
      </c>
      <c r="G75" s="74">
        <f t="shared" si="7"/>
        <v>0</v>
      </c>
      <c r="H75" s="74">
        <f t="shared" si="7"/>
        <v>0</v>
      </c>
      <c r="I75" s="74">
        <f t="shared" si="7"/>
        <v>0</v>
      </c>
    </row>
    <row r="76" spans="2:9" x14ac:dyDescent="0.25">
      <c r="B76" s="35" t="s">
        <v>207</v>
      </c>
      <c r="C76" s="35" t="s">
        <v>208</v>
      </c>
      <c r="D76" s="74">
        <f t="shared" ref="D76:I76" si="8">D12-D44</f>
        <v>0</v>
      </c>
      <c r="E76" s="74">
        <f t="shared" si="8"/>
        <v>12.988926748222411</v>
      </c>
      <c r="F76" s="74">
        <f t="shared" si="8"/>
        <v>19.664069031820532</v>
      </c>
      <c r="G76" s="74">
        <f t="shared" si="8"/>
        <v>26.130113103690178</v>
      </c>
      <c r="H76" s="74">
        <f t="shared" si="8"/>
        <v>26.84846820180519</v>
      </c>
      <c r="I76" s="74">
        <f t="shared" si="8"/>
        <v>27.574653172695776</v>
      </c>
    </row>
    <row r="77" spans="2:9" x14ac:dyDescent="0.25">
      <c r="B77" s="35" t="s">
        <v>209</v>
      </c>
      <c r="C77" s="35" t="s">
        <v>210</v>
      </c>
      <c r="D77" s="74">
        <f t="shared" ref="D77:I77" si="9">D13-D45</f>
        <v>12.399999999999977</v>
      </c>
      <c r="E77" s="74">
        <f t="shared" si="9"/>
        <v>45.080948739284963</v>
      </c>
      <c r="F77" s="74">
        <f t="shared" si="9"/>
        <v>54.499440438559645</v>
      </c>
      <c r="G77" s="74">
        <f t="shared" si="9"/>
        <v>63.617379993164491</v>
      </c>
      <c r="H77" s="74">
        <f t="shared" si="9"/>
        <v>64.828623513524462</v>
      </c>
      <c r="I77" s="74">
        <f t="shared" si="9"/>
        <v>66.052339078820296</v>
      </c>
    </row>
    <row r="78" spans="2:9" x14ac:dyDescent="0.25">
      <c r="B78" s="35" t="s">
        <v>55</v>
      </c>
      <c r="C78" s="35" t="s">
        <v>211</v>
      </c>
      <c r="D78" s="74">
        <f t="shared" ref="D78:I78" si="10">D14-D46</f>
        <v>0</v>
      </c>
      <c r="E78" s="74">
        <f t="shared" si="10"/>
        <v>0</v>
      </c>
      <c r="F78" s="74">
        <f t="shared" si="10"/>
        <v>0</v>
      </c>
      <c r="G78" s="74">
        <f t="shared" si="10"/>
        <v>0</v>
      </c>
      <c r="H78" s="74">
        <f t="shared" si="10"/>
        <v>0</v>
      </c>
      <c r="I78" s="74">
        <f t="shared" si="10"/>
        <v>0</v>
      </c>
    </row>
    <row r="79" spans="2:9" x14ac:dyDescent="0.25">
      <c r="B79" s="35" t="s">
        <v>212</v>
      </c>
      <c r="C79" s="35" t="s">
        <v>213</v>
      </c>
      <c r="D79" s="74">
        <f t="shared" ref="D79:I79" si="11">D15-D47</f>
        <v>0</v>
      </c>
      <c r="E79" s="74">
        <f t="shared" si="11"/>
        <v>0</v>
      </c>
      <c r="F79" s="74">
        <f t="shared" si="11"/>
        <v>0</v>
      </c>
      <c r="G79" s="74">
        <f t="shared" si="11"/>
        <v>0</v>
      </c>
      <c r="H79" s="74">
        <f t="shared" si="11"/>
        <v>0</v>
      </c>
      <c r="I79" s="74">
        <f t="shared" si="11"/>
        <v>0</v>
      </c>
    </row>
    <row r="80" spans="2:9" x14ac:dyDescent="0.25">
      <c r="B80" s="35" t="s">
        <v>214</v>
      </c>
      <c r="C80" s="35" t="s">
        <v>215</v>
      </c>
      <c r="D80" s="74">
        <f t="shared" ref="D80:I80" si="12">D16-D48</f>
        <v>0</v>
      </c>
      <c r="E80" s="74">
        <f t="shared" si="12"/>
        <v>0</v>
      </c>
      <c r="F80" s="74">
        <f t="shared" si="12"/>
        <v>0</v>
      </c>
      <c r="G80" s="74">
        <f t="shared" si="12"/>
        <v>0</v>
      </c>
      <c r="H80" s="74">
        <f t="shared" si="12"/>
        <v>0</v>
      </c>
      <c r="I80" s="74">
        <f t="shared" si="12"/>
        <v>0</v>
      </c>
    </row>
    <row r="81" spans="2:17" x14ac:dyDescent="0.25">
      <c r="B81" s="35" t="s">
        <v>216</v>
      </c>
      <c r="C81" s="35" t="s">
        <v>217</v>
      </c>
      <c r="D81" s="74">
        <f t="shared" ref="D81:I81" si="13">D17-D49</f>
        <v>0</v>
      </c>
      <c r="E81" s="74">
        <f t="shared" si="13"/>
        <v>0</v>
      </c>
      <c r="F81" s="74">
        <f t="shared" si="13"/>
        <v>0</v>
      </c>
      <c r="G81" s="74">
        <f t="shared" si="13"/>
        <v>0</v>
      </c>
      <c r="H81" s="74">
        <f t="shared" si="13"/>
        <v>0</v>
      </c>
      <c r="I81" s="74">
        <f t="shared" si="13"/>
        <v>0</v>
      </c>
    </row>
    <row r="82" spans="2:17" x14ac:dyDescent="0.25">
      <c r="B82" s="35" t="s">
        <v>825</v>
      </c>
      <c r="C82" s="35" t="s">
        <v>219</v>
      </c>
      <c r="D82" s="74">
        <f t="shared" ref="D82:I82" si="14">D18-D50</f>
        <v>0</v>
      </c>
      <c r="E82" s="74">
        <f t="shared" si="14"/>
        <v>0</v>
      </c>
      <c r="F82" s="74">
        <f t="shared" si="14"/>
        <v>0</v>
      </c>
      <c r="G82" s="74">
        <f t="shared" si="14"/>
        <v>0</v>
      </c>
      <c r="H82" s="74">
        <f t="shared" si="14"/>
        <v>0</v>
      </c>
      <c r="I82" s="74">
        <f t="shared" si="14"/>
        <v>0</v>
      </c>
    </row>
    <row r="83" spans="2:17" x14ac:dyDescent="0.25">
      <c r="B83" s="35" t="s">
        <v>220</v>
      </c>
      <c r="C83" s="35" t="s">
        <v>221</v>
      </c>
      <c r="D83" s="74">
        <f t="shared" ref="D83:I83" si="15">D19-D51</f>
        <v>1.8000000000004093</v>
      </c>
      <c r="E83" s="74">
        <f t="shared" si="15"/>
        <v>1.7998679040003935</v>
      </c>
      <c r="F83" s="74">
        <f t="shared" si="15"/>
        <v>1.7998679040003935</v>
      </c>
      <c r="G83" s="74">
        <f t="shared" si="15"/>
        <v>1.7998679040003935</v>
      </c>
      <c r="H83" s="74">
        <f t="shared" si="15"/>
        <v>1.7998679040003935</v>
      </c>
      <c r="I83" s="74">
        <f t="shared" si="15"/>
        <v>1.7997707762883692</v>
      </c>
    </row>
    <row r="84" spans="2:17" x14ac:dyDescent="0.25">
      <c r="B84" s="35" t="s">
        <v>222</v>
      </c>
      <c r="C84" s="35" t="s">
        <v>223</v>
      </c>
      <c r="D84" s="74">
        <f t="shared" ref="D84:I84" si="16">D20-D52</f>
        <v>0</v>
      </c>
      <c r="E84" s="74">
        <f t="shared" si="16"/>
        <v>0</v>
      </c>
      <c r="F84" s="74">
        <f t="shared" si="16"/>
        <v>0</v>
      </c>
      <c r="G84" s="74">
        <f t="shared" si="16"/>
        <v>0</v>
      </c>
      <c r="H84" s="74">
        <f t="shared" si="16"/>
        <v>0</v>
      </c>
      <c r="I84" s="74">
        <f t="shared" si="16"/>
        <v>0</v>
      </c>
    </row>
    <row r="85" spans="2:17" x14ac:dyDescent="0.25">
      <c r="B85" s="35" t="s">
        <v>224</v>
      </c>
      <c r="C85" s="35" t="s">
        <v>225</v>
      </c>
      <c r="D85" s="74">
        <f t="shared" ref="D85:I85" si="17">D21-D53</f>
        <v>-0.5</v>
      </c>
      <c r="E85" s="74">
        <f t="shared" si="17"/>
        <v>2.4800590468494192</v>
      </c>
      <c r="F85" s="74">
        <f t="shared" si="17"/>
        <v>2.5192780297193167</v>
      </c>
      <c r="G85" s="74">
        <f t="shared" si="17"/>
        <v>2.5588935476325787</v>
      </c>
      <c r="H85" s="74">
        <f t="shared" si="17"/>
        <v>2.6311374711649478</v>
      </c>
      <c r="I85" s="74">
        <f t="shared" si="17"/>
        <v>2.573877066899513</v>
      </c>
      <c r="K85" s="73"/>
      <c r="L85" s="73"/>
      <c r="M85" s="73"/>
      <c r="N85" s="73"/>
      <c r="O85" s="73"/>
      <c r="P85" s="73"/>
      <c r="Q85" s="73"/>
    </row>
    <row r="86" spans="2:17" x14ac:dyDescent="0.25">
      <c r="B86" s="35" t="s">
        <v>226</v>
      </c>
      <c r="C86" s="35" t="s">
        <v>227</v>
      </c>
      <c r="D86" s="74">
        <f>D22-D54</f>
        <v>34</v>
      </c>
      <c r="E86" s="74">
        <f t="shared" ref="E86:I86" si="18">E22-E54</f>
        <v>33.447787434500242</v>
      </c>
      <c r="F86" s="74">
        <f t="shared" si="18"/>
        <v>33.82581757188882</v>
      </c>
      <c r="G86" s="74">
        <f t="shared" si="18"/>
        <v>34.184729867317856</v>
      </c>
      <c r="H86" s="74">
        <f t="shared" si="18"/>
        <v>34.560685561600621</v>
      </c>
      <c r="I86" s="74">
        <f t="shared" si="18"/>
        <v>34.951259088481038</v>
      </c>
    </row>
    <row r="87" spans="2:17" x14ac:dyDescent="0.25">
      <c r="B87" s="35" t="s">
        <v>228</v>
      </c>
      <c r="C87" s="35" t="s">
        <v>229</v>
      </c>
      <c r="D87" s="74">
        <f t="shared" ref="D87:I87" si="19">D23-D55</f>
        <v>0</v>
      </c>
      <c r="E87" s="74">
        <f t="shared" si="19"/>
        <v>0</v>
      </c>
      <c r="F87" s="74">
        <f t="shared" si="19"/>
        <v>0</v>
      </c>
      <c r="G87" s="74">
        <f t="shared" si="19"/>
        <v>0</v>
      </c>
      <c r="H87" s="74">
        <f t="shared" si="19"/>
        <v>0</v>
      </c>
      <c r="I87" s="74">
        <f t="shared" si="19"/>
        <v>0</v>
      </c>
    </row>
    <row r="88" spans="2:17" x14ac:dyDescent="0.25">
      <c r="B88" s="35" t="s">
        <v>230</v>
      </c>
      <c r="C88" s="35" t="s">
        <v>231</v>
      </c>
      <c r="D88" s="74">
        <f>D24-D56</f>
        <v>0</v>
      </c>
      <c r="E88" s="74">
        <f t="shared" ref="E88:I88" si="20">E24-E56</f>
        <v>0</v>
      </c>
      <c r="F88" s="74">
        <f t="shared" si="20"/>
        <v>0</v>
      </c>
      <c r="G88" s="74">
        <f t="shared" si="20"/>
        <v>0</v>
      </c>
      <c r="H88" s="74">
        <f t="shared" si="20"/>
        <v>0</v>
      </c>
      <c r="I88" s="74">
        <f t="shared" si="20"/>
        <v>0</v>
      </c>
    </row>
    <row r="89" spans="2:17" x14ac:dyDescent="0.25">
      <c r="B89" s="35" t="s">
        <v>1390</v>
      </c>
      <c r="C89" s="35" t="s">
        <v>1389</v>
      </c>
      <c r="D89" s="74">
        <f t="shared" ref="D89:I89" si="21">D25-D57</f>
        <v>0</v>
      </c>
      <c r="E89" s="74">
        <f t="shared" si="21"/>
        <v>0</v>
      </c>
      <c r="F89" s="74">
        <f t="shared" si="21"/>
        <v>0</v>
      </c>
      <c r="G89" s="74">
        <f t="shared" si="21"/>
        <v>0</v>
      </c>
      <c r="H89" s="74">
        <f t="shared" si="21"/>
        <v>0</v>
      </c>
      <c r="I89" s="74">
        <f t="shared" si="21"/>
        <v>0</v>
      </c>
    </row>
    <row r="90" spans="2:17" x14ac:dyDescent="0.25">
      <c r="B90" s="35"/>
      <c r="C90" s="35"/>
      <c r="D90" s="74"/>
      <c r="E90" s="74"/>
      <c r="F90" s="74"/>
      <c r="G90" s="74"/>
      <c r="H90" s="74"/>
      <c r="I90" s="74"/>
    </row>
    <row r="91" spans="2:17" x14ac:dyDescent="0.25">
      <c r="B91" s="76" t="s">
        <v>1935</v>
      </c>
      <c r="C91" s="35"/>
      <c r="D91" s="74"/>
      <c r="E91" s="74"/>
      <c r="F91" s="74"/>
      <c r="G91" s="74"/>
      <c r="H91" s="74"/>
      <c r="I91" s="74"/>
    </row>
    <row r="92" spans="2:17" x14ac:dyDescent="0.25">
      <c r="B92" s="35" t="s">
        <v>1716</v>
      </c>
      <c r="C92" s="35" t="s">
        <v>1936</v>
      </c>
      <c r="D92" s="71">
        <f t="shared" ref="D92:I92" si="22">D28-D60</f>
        <v>-2.6844415270321775E-4</v>
      </c>
      <c r="E92" s="71">
        <f t="shared" si="22"/>
        <v>1.15E-2</v>
      </c>
      <c r="F92" s="71">
        <f t="shared" si="22"/>
        <v>5.9999999999999984E-3</v>
      </c>
      <c r="G92" s="71">
        <f t="shared" si="22"/>
        <v>2.0000000000000018E-3</v>
      </c>
      <c r="H92" s="71">
        <f t="shared" si="22"/>
        <v>0</v>
      </c>
      <c r="I92" s="71">
        <f t="shared" si="22"/>
        <v>0</v>
      </c>
    </row>
    <row r="93" spans="2:17" x14ac:dyDescent="0.25">
      <c r="B93" s="35" t="s">
        <v>1717</v>
      </c>
      <c r="C93" s="35"/>
      <c r="D93" s="71">
        <f t="shared" ref="D93:I96" si="23">D29-D61</f>
        <v>-1.0634038308421356E-3</v>
      </c>
      <c r="E93" s="71">
        <f t="shared" si="23"/>
        <v>0</v>
      </c>
      <c r="F93" s="71">
        <f t="shared" si="23"/>
        <v>0</v>
      </c>
      <c r="G93" s="71">
        <f t="shared" si="23"/>
        <v>0</v>
      </c>
      <c r="H93" s="71">
        <f t="shared" si="23"/>
        <v>0</v>
      </c>
      <c r="I93" s="71">
        <f t="shared" si="23"/>
        <v>0</v>
      </c>
    </row>
    <row r="94" spans="2:17" x14ac:dyDescent="0.25">
      <c r="B94" s="35" t="s">
        <v>1718</v>
      </c>
      <c r="C94" s="35"/>
      <c r="D94" s="71">
        <f t="shared" si="23"/>
        <v>1.6041009769134362E-3</v>
      </c>
      <c r="E94" s="71">
        <f t="shared" si="23"/>
        <v>0</v>
      </c>
      <c r="F94" s="71">
        <f t="shared" si="23"/>
        <v>0</v>
      </c>
      <c r="G94" s="71">
        <f t="shared" si="23"/>
        <v>0</v>
      </c>
      <c r="H94" s="71">
        <f t="shared" si="23"/>
        <v>0</v>
      </c>
      <c r="I94" s="71">
        <f t="shared" si="23"/>
        <v>0</v>
      </c>
    </row>
    <row r="95" spans="2:17" x14ac:dyDescent="0.25">
      <c r="B95" s="35" t="s">
        <v>1719</v>
      </c>
      <c r="C95" s="35"/>
      <c r="D95" s="71">
        <f t="shared" si="23"/>
        <v>1.8307493237070815E-3</v>
      </c>
      <c r="E95" s="71">
        <f t="shared" si="23"/>
        <v>0</v>
      </c>
      <c r="F95" s="71">
        <f t="shared" si="23"/>
        <v>0</v>
      </c>
      <c r="G95" s="71">
        <f t="shared" si="23"/>
        <v>0</v>
      </c>
      <c r="H95" s="71">
        <f t="shared" si="23"/>
        <v>0</v>
      </c>
      <c r="I95" s="71">
        <f t="shared" si="23"/>
        <v>0</v>
      </c>
    </row>
    <row r="96" spans="2:17" x14ac:dyDescent="0.25">
      <c r="B96" s="35" t="s">
        <v>1720</v>
      </c>
      <c r="C96" s="35"/>
      <c r="D96" s="71">
        <f t="shared" si="23"/>
        <v>6.4802286859988456E-4</v>
      </c>
      <c r="E96" s="71">
        <f t="shared" si="23"/>
        <v>0</v>
      </c>
      <c r="F96" s="71">
        <f t="shared" si="23"/>
        <v>0</v>
      </c>
      <c r="G96" s="71">
        <f t="shared" si="23"/>
        <v>0</v>
      </c>
      <c r="H96" s="71">
        <f t="shared" si="23"/>
        <v>0</v>
      </c>
      <c r="I96" s="71">
        <f t="shared" si="23"/>
        <v>0</v>
      </c>
    </row>
    <row r="98" spans="2:9" x14ac:dyDescent="0.25">
      <c r="B98" s="1334" t="s">
        <v>233</v>
      </c>
      <c r="C98" s="1334"/>
      <c r="D98" s="1334"/>
      <c r="E98" s="1334"/>
      <c r="F98" s="1334"/>
      <c r="G98" s="1334"/>
      <c r="H98" s="1334"/>
      <c r="I98" s="1334"/>
    </row>
    <row r="99" spans="2:9" x14ac:dyDescent="0.25">
      <c r="B99" t="s">
        <v>178</v>
      </c>
      <c r="C99" t="s">
        <v>179</v>
      </c>
      <c r="D99" t="s">
        <v>189</v>
      </c>
      <c r="E99" t="s">
        <v>190</v>
      </c>
      <c r="F99" t="s">
        <v>191</v>
      </c>
      <c r="G99" t="s">
        <v>175</v>
      </c>
      <c r="H99" t="s">
        <v>176</v>
      </c>
      <c r="I99" t="s">
        <v>177</v>
      </c>
    </row>
    <row r="100" spans="2:9" x14ac:dyDescent="0.25">
      <c r="B100" t="s">
        <v>192</v>
      </c>
      <c r="C100" t="s">
        <v>193</v>
      </c>
      <c r="D100" s="75">
        <f t="shared" ref="D100:I100" si="24">(D4/D36-1)</f>
        <v>7.7633304550533744E-2</v>
      </c>
      <c r="E100" s="75">
        <f t="shared" si="24"/>
        <v>7.8955783101348986E-2</v>
      </c>
      <c r="F100" s="75">
        <f t="shared" si="24"/>
        <v>8.4060164057059072E-2</v>
      </c>
      <c r="G100" s="75">
        <f t="shared" si="24"/>
        <v>8.3979780048539787E-2</v>
      </c>
      <c r="H100" s="75">
        <f t="shared" si="24"/>
        <v>8.3846097183149393E-2</v>
      </c>
      <c r="I100" s="75">
        <f t="shared" si="24"/>
        <v>8.8677809752438996E-2</v>
      </c>
    </row>
    <row r="101" spans="2:9" x14ac:dyDescent="0.25">
      <c r="B101" t="s">
        <v>134</v>
      </c>
      <c r="C101" t="s">
        <v>194</v>
      </c>
      <c r="D101" s="75">
        <f t="shared" ref="D101:I101" si="25">(D5/D37-1)</f>
        <v>0</v>
      </c>
      <c r="E101" s="75">
        <f t="shared" si="25"/>
        <v>0</v>
      </c>
      <c r="F101" s="75">
        <f t="shared" si="25"/>
        <v>0</v>
      </c>
      <c r="G101" s="75">
        <f t="shared" si="25"/>
        <v>0</v>
      </c>
      <c r="H101" s="75">
        <f t="shared" si="25"/>
        <v>0</v>
      </c>
      <c r="I101" s="75">
        <f t="shared" si="25"/>
        <v>0</v>
      </c>
    </row>
    <row r="102" spans="2:9" x14ac:dyDescent="0.25">
      <c r="B102" t="s">
        <v>195</v>
      </c>
      <c r="C102" t="s">
        <v>196</v>
      </c>
      <c r="D102" s="75">
        <f t="shared" ref="D102:I102" si="26">(D6/D38-1)</f>
        <v>-5.4942036151861551E-5</v>
      </c>
      <c r="E102" s="75">
        <f t="shared" si="26"/>
        <v>-5.4942036151861551E-5</v>
      </c>
      <c r="F102" s="75">
        <f t="shared" si="26"/>
        <v>-5.4942036151861551E-5</v>
      </c>
      <c r="G102" s="75">
        <f t="shared" si="26"/>
        <v>-5.4942036151861551E-5</v>
      </c>
      <c r="H102" s="75">
        <f t="shared" si="26"/>
        <v>-5.4942036151861551E-5</v>
      </c>
      <c r="I102" s="75">
        <f t="shared" si="26"/>
        <v>-5.4942036151972573E-5</v>
      </c>
    </row>
    <row r="103" spans="2:9" x14ac:dyDescent="0.25">
      <c r="B103" t="s">
        <v>197</v>
      </c>
      <c r="C103" t="s">
        <v>198</v>
      </c>
      <c r="D103" s="75">
        <f t="shared" ref="D103:I103" si="27">(D7/D39-1)</f>
        <v>1.7725840336135779E-3</v>
      </c>
      <c r="E103" s="75">
        <f t="shared" si="27"/>
        <v>2.9744209573667746E-3</v>
      </c>
      <c r="F103" s="75">
        <f t="shared" si="27"/>
        <v>2.9744209573665525E-3</v>
      </c>
      <c r="G103" s="75">
        <f t="shared" si="27"/>
        <v>3.4581949367762377E-3</v>
      </c>
      <c r="H103" s="75">
        <f t="shared" si="27"/>
        <v>4.1843522154898505E-3</v>
      </c>
      <c r="I103" s="75">
        <f t="shared" si="27"/>
        <v>4.1843522154898505E-3</v>
      </c>
    </row>
    <row r="104" spans="2:9" x14ac:dyDescent="0.25">
      <c r="B104" t="s">
        <v>199</v>
      </c>
      <c r="C104" t="s">
        <v>200</v>
      </c>
      <c r="D104" s="75">
        <f t="shared" ref="D104:I104" si="28">(D8/D40-1)</f>
        <v>-2.0380088653385586E-3</v>
      </c>
      <c r="E104" s="75">
        <f t="shared" si="28"/>
        <v>0</v>
      </c>
      <c r="F104" s="75">
        <f t="shared" si="28"/>
        <v>0</v>
      </c>
      <c r="G104" s="75">
        <f t="shared" si="28"/>
        <v>0</v>
      </c>
      <c r="H104" s="75">
        <f t="shared" si="28"/>
        <v>0</v>
      </c>
      <c r="I104" s="75">
        <f t="shared" si="28"/>
        <v>0</v>
      </c>
    </row>
    <row r="105" spans="2:9" x14ac:dyDescent="0.25">
      <c r="B105" t="s">
        <v>201</v>
      </c>
      <c r="C105" t="s">
        <v>202</v>
      </c>
      <c r="D105" s="75">
        <f t="shared" ref="D105:I105" si="29">(D9/D41-1)</f>
        <v>0</v>
      </c>
      <c r="E105" s="75">
        <f t="shared" si="29"/>
        <v>0</v>
      </c>
      <c r="F105" s="75">
        <f t="shared" si="29"/>
        <v>0</v>
      </c>
      <c r="G105" s="75">
        <f t="shared" si="29"/>
        <v>0</v>
      </c>
      <c r="H105" s="75">
        <f t="shared" si="29"/>
        <v>0</v>
      </c>
      <c r="I105" s="75">
        <f t="shared" si="29"/>
        <v>0</v>
      </c>
    </row>
    <row r="106" spans="2:9" x14ac:dyDescent="0.25">
      <c r="B106" t="s">
        <v>203</v>
      </c>
      <c r="C106" t="s">
        <v>204</v>
      </c>
      <c r="D106" s="75">
        <f t="shared" ref="D106:I106" si="30">(D10/D42-1)</f>
        <v>0</v>
      </c>
      <c r="E106" s="75" t="e">
        <f t="shared" si="30"/>
        <v>#DIV/0!</v>
      </c>
      <c r="F106" s="75" t="e">
        <f t="shared" si="30"/>
        <v>#DIV/0!</v>
      </c>
      <c r="G106" s="75" t="e">
        <f t="shared" si="30"/>
        <v>#DIV/0!</v>
      </c>
      <c r="H106" s="75" t="e">
        <f t="shared" si="30"/>
        <v>#DIV/0!</v>
      </c>
      <c r="I106" s="75" t="e">
        <f t="shared" si="30"/>
        <v>#DIV/0!</v>
      </c>
    </row>
    <row r="107" spans="2:9" x14ac:dyDescent="0.25">
      <c r="B107" t="s">
        <v>205</v>
      </c>
      <c r="C107" t="s">
        <v>206</v>
      </c>
      <c r="D107" s="75">
        <f t="shared" ref="D107:I107" si="31">(D11/D43-1)</f>
        <v>0</v>
      </c>
      <c r="E107" s="75">
        <f t="shared" si="31"/>
        <v>0</v>
      </c>
      <c r="F107" s="75">
        <f t="shared" si="31"/>
        <v>0</v>
      </c>
      <c r="G107" s="75">
        <f t="shared" si="31"/>
        <v>0</v>
      </c>
      <c r="H107" s="75">
        <f t="shared" si="31"/>
        <v>0</v>
      </c>
      <c r="I107" s="75">
        <f t="shared" si="31"/>
        <v>0</v>
      </c>
    </row>
    <row r="108" spans="2:9" x14ac:dyDescent="0.25">
      <c r="B108" t="s">
        <v>207</v>
      </c>
      <c r="C108" t="s">
        <v>208</v>
      </c>
      <c r="D108" s="75">
        <f t="shared" ref="D108:I108" si="32">(D12/D44-1)</f>
        <v>0</v>
      </c>
      <c r="E108" s="75">
        <f t="shared" si="32"/>
        <v>2.1869525107854226E-2</v>
      </c>
      <c r="F108" s="75">
        <f t="shared" si="32"/>
        <v>3.3825175461120516E-2</v>
      </c>
      <c r="G108" s="75">
        <f t="shared" si="32"/>
        <v>4.5920704313410221E-2</v>
      </c>
      <c r="H108" s="75">
        <f t="shared" si="32"/>
        <v>4.6918074206688143E-2</v>
      </c>
      <c r="I108" s="75">
        <f t="shared" si="32"/>
        <v>4.791639517273838E-2</v>
      </c>
    </row>
    <row r="109" spans="2:9" x14ac:dyDescent="0.25">
      <c r="B109" t="s">
        <v>209</v>
      </c>
      <c r="C109" t="s">
        <v>210</v>
      </c>
      <c r="D109" s="75">
        <f t="shared" ref="D109:I109" si="33">(D13/D45-1)</f>
        <v>1.4487673793667444E-2</v>
      </c>
      <c r="E109" s="75">
        <f t="shared" si="33"/>
        <v>5.2373093021521155E-2</v>
      </c>
      <c r="F109" s="75">
        <f t="shared" si="33"/>
        <v>6.4685628459959954E-2</v>
      </c>
      <c r="G109" s="75">
        <f t="shared" si="33"/>
        <v>7.7142217875004526E-2</v>
      </c>
      <c r="H109" s="75">
        <f t="shared" si="33"/>
        <v>7.8169360003902399E-2</v>
      </c>
      <c r="I109" s="75">
        <f t="shared" si="33"/>
        <v>7.9197481595804975E-2</v>
      </c>
    </row>
    <row r="110" spans="2:9" x14ac:dyDescent="0.25">
      <c r="B110" t="s">
        <v>55</v>
      </c>
      <c r="C110" t="s">
        <v>211</v>
      </c>
      <c r="D110" s="75">
        <f t="shared" ref="D110:I110" si="34">(D14/D46-1)</f>
        <v>0</v>
      </c>
      <c r="E110" s="75">
        <f t="shared" si="34"/>
        <v>0</v>
      </c>
      <c r="F110" s="75">
        <f t="shared" si="34"/>
        <v>0</v>
      </c>
      <c r="G110" s="75">
        <f t="shared" si="34"/>
        <v>0</v>
      </c>
      <c r="H110" s="75">
        <f t="shared" si="34"/>
        <v>0</v>
      </c>
      <c r="I110" s="75">
        <f t="shared" si="34"/>
        <v>0</v>
      </c>
    </row>
    <row r="111" spans="2:9" x14ac:dyDescent="0.25">
      <c r="B111" t="s">
        <v>212</v>
      </c>
      <c r="C111" t="s">
        <v>213</v>
      </c>
      <c r="D111" s="75" t="e">
        <f t="shared" ref="D111:I111" si="35">(D15/D47-1)</f>
        <v>#DIV/0!</v>
      </c>
      <c r="E111" s="75" t="e">
        <f t="shared" si="35"/>
        <v>#DIV/0!</v>
      </c>
      <c r="F111" s="75" t="e">
        <f t="shared" si="35"/>
        <v>#DIV/0!</v>
      </c>
      <c r="G111" s="75" t="e">
        <f t="shared" si="35"/>
        <v>#DIV/0!</v>
      </c>
      <c r="H111" s="75" t="e">
        <f t="shared" si="35"/>
        <v>#DIV/0!</v>
      </c>
      <c r="I111" s="75" t="e">
        <f t="shared" si="35"/>
        <v>#DIV/0!</v>
      </c>
    </row>
    <row r="112" spans="2:9" x14ac:dyDescent="0.25">
      <c r="B112" t="s">
        <v>214</v>
      </c>
      <c r="C112" t="s">
        <v>215</v>
      </c>
      <c r="D112" s="75" t="e">
        <f t="shared" ref="D112:I112" si="36">(D16/D48-1)</f>
        <v>#DIV/0!</v>
      </c>
      <c r="E112" s="75" t="e">
        <f t="shared" si="36"/>
        <v>#DIV/0!</v>
      </c>
      <c r="F112" s="75" t="e">
        <f t="shared" si="36"/>
        <v>#DIV/0!</v>
      </c>
      <c r="G112" s="75" t="e">
        <f t="shared" si="36"/>
        <v>#DIV/0!</v>
      </c>
      <c r="H112" s="75" t="e">
        <f t="shared" si="36"/>
        <v>#DIV/0!</v>
      </c>
      <c r="I112" s="75" t="e">
        <f t="shared" si="36"/>
        <v>#DIV/0!</v>
      </c>
    </row>
    <row r="113" spans="2:9" x14ac:dyDescent="0.25">
      <c r="B113" t="s">
        <v>216</v>
      </c>
      <c r="C113" t="s">
        <v>217</v>
      </c>
      <c r="D113" s="75">
        <f t="shared" ref="D113:I113" si="37">(D17/D49-1)</f>
        <v>0</v>
      </c>
      <c r="E113" s="75">
        <f t="shared" si="37"/>
        <v>0</v>
      </c>
      <c r="F113" s="75">
        <f t="shared" si="37"/>
        <v>0</v>
      </c>
      <c r="G113" s="75">
        <f t="shared" si="37"/>
        <v>0</v>
      </c>
      <c r="H113" s="75">
        <f t="shared" si="37"/>
        <v>0</v>
      </c>
      <c r="I113" s="75">
        <f t="shared" si="37"/>
        <v>0</v>
      </c>
    </row>
    <row r="114" spans="2:9" x14ac:dyDescent="0.25">
      <c r="B114" t="s">
        <v>218</v>
      </c>
      <c r="C114" t="s">
        <v>219</v>
      </c>
      <c r="D114" s="75">
        <f t="shared" ref="D114:I114" si="38">(D18/D50-1)</f>
        <v>0</v>
      </c>
      <c r="E114" s="75">
        <f t="shared" si="38"/>
        <v>0</v>
      </c>
      <c r="F114" s="75">
        <f t="shared" si="38"/>
        <v>0</v>
      </c>
      <c r="G114" s="75">
        <f t="shared" si="38"/>
        <v>0</v>
      </c>
      <c r="H114" s="75">
        <f t="shared" si="38"/>
        <v>0</v>
      </c>
      <c r="I114" s="75">
        <f t="shared" si="38"/>
        <v>0</v>
      </c>
    </row>
    <row r="115" spans="2:9" x14ac:dyDescent="0.25">
      <c r="B115" t="s">
        <v>220</v>
      </c>
      <c r="C115" t="s">
        <v>221</v>
      </c>
      <c r="D115" s="75">
        <f t="shared" ref="D115:I115" si="39">(D19/D51-1)</f>
        <v>9.2189547856391663E-4</v>
      </c>
      <c r="E115" s="75">
        <f t="shared" si="39"/>
        <v>8.9764334644604205E-4</v>
      </c>
      <c r="F115" s="75">
        <f t="shared" si="39"/>
        <v>8.9455013258032956E-4</v>
      </c>
      <c r="G115" s="75">
        <f t="shared" si="39"/>
        <v>8.91478163487891E-4</v>
      </c>
      <c r="H115" s="75">
        <f t="shared" si="39"/>
        <v>8.8775764640280919E-4</v>
      </c>
      <c r="I115" s="75">
        <f t="shared" si="39"/>
        <v>8.6995399479250501E-4</v>
      </c>
    </row>
    <row r="116" spans="2:9" x14ac:dyDescent="0.25">
      <c r="B116" t="s">
        <v>222</v>
      </c>
      <c r="C116" t="s">
        <v>223</v>
      </c>
      <c r="D116" s="75">
        <f t="shared" ref="D116:I116" si="40">(D20/D52-1)</f>
        <v>0</v>
      </c>
      <c r="E116" s="75">
        <f t="shared" si="40"/>
        <v>0</v>
      </c>
      <c r="F116" s="75">
        <f t="shared" si="40"/>
        <v>0</v>
      </c>
      <c r="G116" s="75">
        <f t="shared" si="40"/>
        <v>0</v>
      </c>
      <c r="H116" s="75">
        <f t="shared" si="40"/>
        <v>0</v>
      </c>
      <c r="I116" s="75">
        <f t="shared" si="40"/>
        <v>0</v>
      </c>
    </row>
    <row r="117" spans="2:9" x14ac:dyDescent="0.25">
      <c r="B117" t="s">
        <v>224</v>
      </c>
      <c r="C117" t="s">
        <v>225</v>
      </c>
      <c r="D117" s="75">
        <f t="shared" ref="D117:I117" si="41">(D21/D53-1)</f>
        <v>-1.1901644807310596E-4</v>
      </c>
      <c r="E117" s="75">
        <f t="shared" si="41"/>
        <v>5.6302912377992342E-4</v>
      </c>
      <c r="F117" s="75">
        <f t="shared" si="41"/>
        <v>5.6831911841470628E-4</v>
      </c>
      <c r="G117" s="75">
        <f t="shared" si="41"/>
        <v>5.7360664233541137E-4</v>
      </c>
      <c r="H117" s="75">
        <f t="shared" si="41"/>
        <v>5.8529084358260874E-4</v>
      </c>
      <c r="I117" s="75">
        <f t="shared" si="41"/>
        <v>5.6339048847942053E-4</v>
      </c>
    </row>
    <row r="118" spans="2:9" x14ac:dyDescent="0.25">
      <c r="B118" t="s">
        <v>226</v>
      </c>
      <c r="C118" t="s">
        <v>227</v>
      </c>
      <c r="D118" s="75">
        <f t="shared" ref="D118:I118" si="42">(D22/D54-1)</f>
        <v>1.5050907481186426E-2</v>
      </c>
      <c r="E118" s="75">
        <f t="shared" si="42"/>
        <v>1.465259650449835E-2</v>
      </c>
      <c r="F118" s="75">
        <f t="shared" si="42"/>
        <v>1.4682857455705189E-2</v>
      </c>
      <c r="G118" s="75">
        <f t="shared" si="42"/>
        <v>1.469742385054551E-2</v>
      </c>
      <c r="H118" s="75">
        <f t="shared" si="42"/>
        <v>1.471269349840254E-2</v>
      </c>
      <c r="I118" s="75">
        <f t="shared" si="42"/>
        <v>1.4721377561291549E-2</v>
      </c>
    </row>
    <row r="119" spans="2:9" x14ac:dyDescent="0.25">
      <c r="B119" t="s">
        <v>228</v>
      </c>
      <c r="C119" t="s">
        <v>229</v>
      </c>
      <c r="D119" s="75">
        <f t="shared" ref="D119:I119" si="43">(D23/D55-1)</f>
        <v>0</v>
      </c>
      <c r="E119" s="75">
        <f t="shared" si="43"/>
        <v>0</v>
      </c>
      <c r="F119" s="75">
        <f t="shared" si="43"/>
        <v>0</v>
      </c>
      <c r="G119" s="75">
        <f t="shared" si="43"/>
        <v>0</v>
      </c>
      <c r="H119" s="75">
        <f t="shared" si="43"/>
        <v>0</v>
      </c>
      <c r="I119" s="75">
        <f t="shared" si="43"/>
        <v>0</v>
      </c>
    </row>
    <row r="120" spans="2:9" x14ac:dyDescent="0.25">
      <c r="B120" t="s">
        <v>230</v>
      </c>
      <c r="C120" t="s">
        <v>231</v>
      </c>
      <c r="D120" s="75">
        <f t="shared" ref="D120:I120" si="44">(D24/D56-1)</f>
        <v>0</v>
      </c>
      <c r="E120" s="75">
        <f t="shared" si="44"/>
        <v>0</v>
      </c>
      <c r="F120" s="75">
        <f t="shared" si="44"/>
        <v>0</v>
      </c>
      <c r="G120" s="75">
        <f t="shared" si="44"/>
        <v>0</v>
      </c>
      <c r="H120" s="75">
        <f t="shared" si="44"/>
        <v>0</v>
      </c>
      <c r="I120" s="75">
        <f t="shared" si="44"/>
        <v>0</v>
      </c>
    </row>
    <row r="121" spans="2:9" x14ac:dyDescent="0.25">
      <c r="B121" s="35" t="s">
        <v>1390</v>
      </c>
      <c r="C121" s="35" t="s">
        <v>1389</v>
      </c>
      <c r="D121" s="75">
        <f t="shared" ref="D121:I121" si="45">(D25/D57-1)</f>
        <v>0</v>
      </c>
      <c r="E121" s="75">
        <f t="shared" si="45"/>
        <v>0</v>
      </c>
      <c r="F121" s="75">
        <f t="shared" si="45"/>
        <v>0</v>
      </c>
      <c r="G121" s="75">
        <f t="shared" si="45"/>
        <v>0</v>
      </c>
      <c r="H121" s="75">
        <f t="shared" si="45"/>
        <v>0</v>
      </c>
      <c r="I121" s="75">
        <f t="shared" si="45"/>
        <v>0</v>
      </c>
    </row>
    <row r="122" spans="2:9" x14ac:dyDescent="0.25">
      <c r="B122" s="35"/>
      <c r="D122" s="75"/>
      <c r="E122" s="75"/>
      <c r="F122" s="75"/>
      <c r="G122" s="75"/>
      <c r="H122" s="75"/>
      <c r="I122" s="75"/>
    </row>
    <row r="123" spans="2:9" x14ac:dyDescent="0.25">
      <c r="B123" s="76" t="s">
        <v>1935</v>
      </c>
      <c r="D123" s="75"/>
      <c r="E123" s="75"/>
      <c r="F123" s="75"/>
      <c r="G123" s="75"/>
      <c r="H123" s="75"/>
      <c r="I123" s="75"/>
    </row>
    <row r="124" spans="2:9" x14ac:dyDescent="0.25">
      <c r="B124" s="35" t="s">
        <v>1716</v>
      </c>
      <c r="D124" s="75">
        <f t="shared" ref="D124:I124" si="46">(D28/D60-1)</f>
        <v>-1.4776688937104598E-2</v>
      </c>
      <c r="E124" s="75">
        <f t="shared" si="46"/>
        <v>0.62066770619702361</v>
      </c>
      <c r="F124" s="75">
        <f t="shared" si="46"/>
        <v>0.28220181087112772</v>
      </c>
      <c r="G124" s="75">
        <f t="shared" si="46"/>
        <v>9.0322144980748531E-2</v>
      </c>
      <c r="H124" s="75">
        <f t="shared" si="46"/>
        <v>0</v>
      </c>
      <c r="I124" s="75">
        <f t="shared" si="46"/>
        <v>0</v>
      </c>
    </row>
    <row r="125" spans="2:9" x14ac:dyDescent="0.25">
      <c r="B125" s="35" t="s">
        <v>1717</v>
      </c>
      <c r="D125" s="75">
        <f t="shared" ref="D125:I125" si="47">(D29/D61-1)</f>
        <v>-2.6166847788858028E-2</v>
      </c>
      <c r="E125" s="75">
        <f t="shared" si="47"/>
        <v>0</v>
      </c>
      <c r="F125" s="75">
        <f t="shared" si="47"/>
        <v>0</v>
      </c>
      <c r="G125" s="75">
        <f t="shared" si="47"/>
        <v>0</v>
      </c>
      <c r="H125" s="75">
        <f t="shared" si="47"/>
        <v>0</v>
      </c>
      <c r="I125" s="75">
        <f t="shared" si="47"/>
        <v>0</v>
      </c>
    </row>
    <row r="126" spans="2:9" x14ac:dyDescent="0.25">
      <c r="B126" s="35" t="s">
        <v>1718</v>
      </c>
      <c r="D126" s="75">
        <f t="shared" ref="D126:I126" si="48">(D30/D62-1)</f>
        <v>0.32771792736521732</v>
      </c>
      <c r="E126" s="75">
        <f t="shared" si="48"/>
        <v>0</v>
      </c>
      <c r="F126" s="75">
        <f t="shared" si="48"/>
        <v>0</v>
      </c>
      <c r="G126" s="75">
        <f t="shared" si="48"/>
        <v>0</v>
      </c>
      <c r="H126" s="75">
        <f t="shared" si="48"/>
        <v>0</v>
      </c>
      <c r="I126" s="75">
        <f t="shared" si="48"/>
        <v>0</v>
      </c>
    </row>
    <row r="127" spans="2:9" x14ac:dyDescent="0.25">
      <c r="B127" s="35" t="s">
        <v>1719</v>
      </c>
      <c r="D127" s="75">
        <f t="shared" ref="D127:I127" si="49">(D31/D63-1)</f>
        <v>0.47641929623672508</v>
      </c>
      <c r="E127" s="75">
        <f t="shared" si="49"/>
        <v>0</v>
      </c>
      <c r="F127" s="75">
        <f t="shared" si="49"/>
        <v>0</v>
      </c>
      <c r="G127" s="75">
        <f t="shared" si="49"/>
        <v>0</v>
      </c>
      <c r="H127" s="75">
        <f t="shared" si="49"/>
        <v>0</v>
      </c>
      <c r="I127" s="75">
        <f t="shared" si="49"/>
        <v>0</v>
      </c>
    </row>
    <row r="128" spans="2:9" x14ac:dyDescent="0.25">
      <c r="B128" s="35" t="s">
        <v>1720</v>
      </c>
      <c r="D128" s="75">
        <f t="shared" ref="D128:I128" si="50">(D32/D64-1)</f>
        <v>6.9110252351487933E-2</v>
      </c>
      <c r="E128" s="75">
        <f t="shared" si="50"/>
        <v>0</v>
      </c>
      <c r="F128" s="75">
        <f t="shared" si="50"/>
        <v>0</v>
      </c>
      <c r="G128" s="75">
        <f t="shared" si="50"/>
        <v>0</v>
      </c>
      <c r="H128" s="75">
        <f t="shared" si="50"/>
        <v>0</v>
      </c>
      <c r="I128" s="75">
        <f t="shared" si="50"/>
        <v>0</v>
      </c>
    </row>
  </sheetData>
  <mergeCells count="4">
    <mergeCell ref="B2:I2"/>
    <mergeCell ref="B98:I98"/>
    <mergeCell ref="B66:I66"/>
    <mergeCell ref="B34:I34"/>
  </mergeCells>
  <conditionalFormatting sqref="D68:I96 D100: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0" sqref="C20"/>
    </sheetView>
  </sheetViews>
  <sheetFormatPr defaultColWidth="10.85546875" defaultRowHeight="15" x14ac:dyDescent="0.25"/>
  <cols>
    <col min="1" max="1" width="41.140625" customWidth="1"/>
    <col min="2" max="2" width="23.42578125" customWidth="1"/>
    <col min="3" max="4" width="10.42578125" customWidth="1"/>
  </cols>
  <sheetData>
    <row r="1" spans="1:13" x14ac:dyDescent="0.25">
      <c r="A1" s="76" t="s">
        <v>178</v>
      </c>
      <c r="B1" s="76" t="s">
        <v>179</v>
      </c>
      <c r="C1" s="80" t="s">
        <v>189</v>
      </c>
      <c r="D1" s="80" t="s">
        <v>190</v>
      </c>
      <c r="E1" s="80" t="s">
        <v>191</v>
      </c>
      <c r="F1" s="80" t="s">
        <v>175</v>
      </c>
      <c r="G1" s="80" t="s">
        <v>176</v>
      </c>
      <c r="H1" s="80" t="s">
        <v>177</v>
      </c>
      <c r="I1" s="80" t="s">
        <v>768</v>
      </c>
      <c r="J1" s="80" t="s">
        <v>769</v>
      </c>
      <c r="K1" s="80" t="s">
        <v>770</v>
      </c>
      <c r="L1" s="80" t="s">
        <v>1162</v>
      </c>
    </row>
    <row r="2" spans="1:13" x14ac:dyDescent="0.25">
      <c r="A2" t="s">
        <v>192</v>
      </c>
      <c r="B2" t="s">
        <v>193</v>
      </c>
      <c r="C2" s="74">
        <f>Grants!X96</f>
        <v>427.53694400000006</v>
      </c>
      <c r="D2" s="74">
        <f>Grants!Y96</f>
        <v>425.03897260832036</v>
      </c>
      <c r="E2" s="74">
        <f>Grants!Z96</f>
        <v>405.0704277518426</v>
      </c>
      <c r="F2" s="74">
        <f>Grants!AA96</f>
        <v>409.42293694667461</v>
      </c>
      <c r="G2" s="74">
        <f>Grants!AB96</f>
        <v>414.0652857</v>
      </c>
      <c r="H2" s="74">
        <f>Grants!AC96</f>
        <v>397.1246120326532</v>
      </c>
      <c r="I2" s="74">
        <f>Grants!AD96</f>
        <v>392.34043100191627</v>
      </c>
      <c r="J2" s="74">
        <f>Grants!AE96</f>
        <v>394.75671922454154</v>
      </c>
      <c r="K2" s="74">
        <f>Grants!AF96</f>
        <v>393.31111720000007</v>
      </c>
      <c r="L2" s="78">
        <f>Grants!AG96</f>
        <v>268.27507963395931</v>
      </c>
      <c r="M2" s="74"/>
    </row>
    <row r="3" spans="1:13" x14ac:dyDescent="0.25">
      <c r="A3" t="s">
        <v>134</v>
      </c>
      <c r="B3" t="s">
        <v>194</v>
      </c>
      <c r="C3" s="74">
        <f>Grants!X136</f>
        <v>77.707285714285717</v>
      </c>
      <c r="D3" s="74">
        <f>Grants!Y136</f>
        <v>77.707285714285717</v>
      </c>
      <c r="E3" s="74">
        <f>Grants!Z136</f>
        <v>77.707285714285717</v>
      </c>
      <c r="F3" s="74">
        <f>Grants!AA136</f>
        <v>77.707285714285717</v>
      </c>
      <c r="G3" s="74">
        <f>Grants!AB136</f>
        <v>79.301285714285726</v>
      </c>
      <c r="H3" s="74">
        <f>Grants!AC136</f>
        <v>79.301285714285726</v>
      </c>
      <c r="I3" s="74">
        <f>Grants!AD136</f>
        <v>75.229285714285723</v>
      </c>
      <c r="J3" s="74">
        <f>Grants!AE136</f>
        <v>75.229285714285723</v>
      </c>
      <c r="K3" s="74">
        <f>Grants!AF136</f>
        <v>75.229285714285723</v>
      </c>
      <c r="L3" s="74">
        <f>Grants!AG136</f>
        <v>75.229285714285723</v>
      </c>
      <c r="M3" s="74"/>
    </row>
    <row r="4" spans="1:13" x14ac:dyDescent="0.25">
      <c r="A4" t="s">
        <v>195</v>
      </c>
      <c r="B4" t="s">
        <v>196</v>
      </c>
      <c r="C4" s="74">
        <f>'Federal and State Purchases'!X11</f>
        <v>1820</v>
      </c>
      <c r="D4" s="74">
        <f>'Federal and State Purchases'!Y11</f>
        <v>1828.5840782674663</v>
      </c>
      <c r="E4" s="74">
        <f>'Federal and State Purchases'!Z11</f>
        <v>1839.9071213072348</v>
      </c>
      <c r="F4" s="74">
        <f>'Federal and State Purchases'!AA11</f>
        <v>1855.7992197083345</v>
      </c>
      <c r="G4" s="74">
        <f>'Federal and State Purchases'!AB11</f>
        <v>1869.5638157259718</v>
      </c>
      <c r="H4" s="74">
        <f>'Federal and State Purchases'!AC11</f>
        <v>1881.1406153944431</v>
      </c>
      <c r="I4" s="74">
        <f>'Federal and State Purchases'!AD11</f>
        <v>1893.2505885340929</v>
      </c>
      <c r="J4" s="74">
        <f>'Federal and State Purchases'!AE11</f>
        <v>1906.3664187294839</v>
      </c>
      <c r="K4" s="74">
        <f>'Federal and State Purchases'!AF11</f>
        <v>1920.50607529186</v>
      </c>
      <c r="L4" s="78">
        <f>'Federal and State Purchases'!AG11</f>
        <v>1920.50607529186</v>
      </c>
      <c r="M4" s="74"/>
    </row>
    <row r="5" spans="1:13" x14ac:dyDescent="0.25">
      <c r="A5" t="s">
        <v>197</v>
      </c>
      <c r="B5" t="s">
        <v>198</v>
      </c>
      <c r="C5" s="74">
        <f>'Federal and State Purchases'!X27</f>
        <v>3051.8</v>
      </c>
      <c r="D5" s="74">
        <f>'Federal and State Purchases'!Y27</f>
        <v>3085.6013884701142</v>
      </c>
      <c r="E5" s="74">
        <f>'Federal and State Purchases'!Z27</f>
        <v>3116.2849115947884</v>
      </c>
      <c r="F5" s="74">
        <f>'Federal and State Purchases'!AA27</f>
        <v>3145.3745750228036</v>
      </c>
      <c r="G5" s="74">
        <f>'Federal and State Purchases'!AB27</f>
        <v>3175.0542710147729</v>
      </c>
      <c r="H5" s="74">
        <f>'Federal and State Purchases'!AC27</f>
        <v>3204.4876929562201</v>
      </c>
      <c r="I5" s="74">
        <f>'Federal and State Purchases'!AD27</f>
        <v>3234.4285876897607</v>
      </c>
      <c r="J5" s="74">
        <f>'Federal and State Purchases'!AE27</f>
        <v>3265.0799443322326</v>
      </c>
      <c r="K5" s="74">
        <f>'Federal and State Purchases'!AF27</f>
        <v>3295.7313009747045</v>
      </c>
      <c r="L5" s="78">
        <f>'Federal and State Purchases'!AG27</f>
        <v>0</v>
      </c>
      <c r="M5" s="74"/>
    </row>
    <row r="6" spans="1:13" x14ac:dyDescent="0.25">
      <c r="A6" t="s">
        <v>199</v>
      </c>
      <c r="B6" t="s">
        <v>200</v>
      </c>
      <c r="C6" s="74">
        <f>Subsidies!X46</f>
        <v>97.935000000000002</v>
      </c>
      <c r="D6" s="74">
        <f>Subsidies!Y46</f>
        <v>98.266000000000005</v>
      </c>
      <c r="E6" s="74">
        <f>Subsidies!Z46</f>
        <v>98.266000000000005</v>
      </c>
      <c r="F6" s="74">
        <f>Subsidies!AA46</f>
        <v>98.266000000000005</v>
      </c>
      <c r="G6" s="74">
        <f>Subsidies!AB46</f>
        <v>105.36499999999999</v>
      </c>
      <c r="H6" s="74">
        <f>Subsidies!AC46</f>
        <v>105.36499999999999</v>
      </c>
      <c r="I6" s="74">
        <f>Subsidies!AD46</f>
        <v>98.343000000000004</v>
      </c>
      <c r="J6" s="74">
        <f>Subsidies!AE46</f>
        <v>99.343000000000004</v>
      </c>
      <c r="K6" s="74">
        <f>Subsidies!AF46</f>
        <v>104.682</v>
      </c>
      <c r="L6" s="78">
        <f>Subsidies!AG46</f>
        <v>0</v>
      </c>
      <c r="M6" s="74"/>
    </row>
    <row r="7" spans="1:13" x14ac:dyDescent="0.25">
      <c r="A7" t="s">
        <v>201</v>
      </c>
      <c r="B7" t="s">
        <v>202</v>
      </c>
      <c r="C7" s="74">
        <f>Subsidies!X45</f>
        <v>1.365</v>
      </c>
      <c r="D7" s="74">
        <f>Subsidies!Y45</f>
        <v>1.365</v>
      </c>
      <c r="E7" s="74">
        <f>Subsidies!Z45</f>
        <v>1.365</v>
      </c>
      <c r="F7" s="74">
        <f>Subsidies!AA45</f>
        <v>1.365</v>
      </c>
      <c r="G7" s="74">
        <f>Subsidies!AB45</f>
        <v>-0.90100000000000025</v>
      </c>
      <c r="H7" s="74">
        <f>Subsidies!AC45</f>
        <v>-0.90100000000000025</v>
      </c>
      <c r="I7" s="74">
        <f>Subsidies!AD45</f>
        <v>-0.90100000000000025</v>
      </c>
      <c r="J7" s="74">
        <f>Subsidies!AE45</f>
        <v>-0.90100000000000025</v>
      </c>
      <c r="K7" s="74">
        <f>Subsidies!AF45</f>
        <v>-2.1500000000000004</v>
      </c>
      <c r="L7" s="78">
        <f>Subsidies!AG45</f>
        <v>0</v>
      </c>
      <c r="M7" s="74"/>
    </row>
    <row r="8" spans="1:13" x14ac:dyDescent="0.25">
      <c r="A8" t="s">
        <v>203</v>
      </c>
      <c r="B8" t="s">
        <v>204</v>
      </c>
      <c r="C8" s="74">
        <f>'Unemployment Insurance'!X19</f>
        <v>0.28514285714285847</v>
      </c>
      <c r="D8" s="74">
        <f>'Unemployment Insurance'!Y19</f>
        <v>0</v>
      </c>
      <c r="E8" s="74">
        <f>'Unemployment Insurance'!Z19</f>
        <v>0</v>
      </c>
      <c r="F8" s="74">
        <f>'Unemployment Insurance'!AA19</f>
        <v>0</v>
      </c>
      <c r="G8" s="74">
        <f>'Unemployment Insurance'!AB19</f>
        <v>0</v>
      </c>
      <c r="H8" s="74">
        <f>'Unemployment Insurance'!AC19</f>
        <v>0</v>
      </c>
      <c r="I8" s="74">
        <f>'Unemployment Insurance'!AD19</f>
        <v>0</v>
      </c>
      <c r="J8" s="74">
        <f>'Unemployment Insurance'!AE19</f>
        <v>0</v>
      </c>
      <c r="K8" s="74">
        <f>'Unemployment Insurance'!AF19</f>
        <v>0</v>
      </c>
      <c r="L8" s="74">
        <f>'Unemployment Insurance'!AG19</f>
        <v>0</v>
      </c>
      <c r="M8" s="74"/>
    </row>
    <row r="9" spans="1:13" x14ac:dyDescent="0.25">
      <c r="A9" t="s">
        <v>205</v>
      </c>
      <c r="B9" t="s">
        <v>206</v>
      </c>
      <c r="C9" s="74">
        <f>'Unemployment Insurance'!X20</f>
        <v>22.414857142857141</v>
      </c>
      <c r="D9" s="74">
        <f>'Unemployment Insurance'!Y20</f>
        <v>23.25714285714286</v>
      </c>
      <c r="E9" s="74">
        <f>'Unemployment Insurance'!Z20</f>
        <v>24.514285714285716</v>
      </c>
      <c r="F9" s="74">
        <f>'Unemployment Insurance'!AA20</f>
        <v>24.985714285714291</v>
      </c>
      <c r="G9" s="74">
        <f>'Unemployment Insurance'!AB20</f>
        <v>25.83428571428572</v>
      </c>
      <c r="H9" s="74">
        <f>'Unemployment Insurance'!AC20</f>
        <v>26.689142857142865</v>
      </c>
      <c r="I9" s="74">
        <f>'Unemployment Insurance'!AD20</f>
        <v>27.474857142857154</v>
      </c>
      <c r="J9" s="74">
        <f>'Unemployment Insurance'!AE20</f>
        <v>27.500000000000007</v>
      </c>
      <c r="K9" s="74">
        <f>'Unemployment Insurance'!AF20</f>
        <v>27.368000000000006</v>
      </c>
      <c r="L9" s="78">
        <f>'Unemployment Insurance'!AG20</f>
        <v>0</v>
      </c>
      <c r="M9" s="74"/>
    </row>
    <row r="10" spans="1:13" x14ac:dyDescent="0.25">
      <c r="A10" s="35" t="s">
        <v>207</v>
      </c>
      <c r="B10" s="35" t="s">
        <v>208</v>
      </c>
      <c r="C10" s="74">
        <f>Medicaid!X29</f>
        <v>616.99699999999996</v>
      </c>
      <c r="D10" s="74">
        <f>Medicaid!Y29</f>
        <v>606.91708404312465</v>
      </c>
      <c r="E10" s="74">
        <f>Medicaid!Z29</f>
        <v>601.00825317131967</v>
      </c>
      <c r="F10" s="74">
        <f>Medicaid!AA29</f>
        <v>595.1569495683782</v>
      </c>
      <c r="G10" s="74">
        <f>Medicaid!AB29</f>
        <v>599.08994775464669</v>
      </c>
      <c r="H10" s="74">
        <f>Medicaid!AC29</f>
        <v>603.04893652162571</v>
      </c>
      <c r="I10" s="74">
        <f>Medicaid!AD29</f>
        <v>607.03408762385311</v>
      </c>
      <c r="J10" s="74">
        <f>Medicaid!AE29</f>
        <v>611.04557395087875</v>
      </c>
      <c r="K10" s="74">
        <f>Medicaid!AF29</f>
        <v>619.63957803069445</v>
      </c>
      <c r="L10" s="74">
        <f>Medicaid!AG29</f>
        <v>628.35445182837157</v>
      </c>
      <c r="M10" s="74"/>
    </row>
    <row r="11" spans="1:13" x14ac:dyDescent="0.25">
      <c r="A11" s="35" t="s">
        <v>209</v>
      </c>
      <c r="B11" s="35" t="s">
        <v>210</v>
      </c>
      <c r="C11" s="74">
        <f>Medicaid!X27</f>
        <v>868.3</v>
      </c>
      <c r="D11" s="74">
        <f>Medicaid!Y27</f>
        <v>905.84639409421584</v>
      </c>
      <c r="E11" s="74">
        <f>Medicaid!Z27</f>
        <v>897.02724353928306</v>
      </c>
      <c r="F11" s="74">
        <f>Medicaid!AA27</f>
        <v>888.29395457966893</v>
      </c>
      <c r="G11" s="74">
        <f>Medicaid!AB27</f>
        <v>894.16410112633832</v>
      </c>
      <c r="H11" s="74">
        <f>Medicaid!AC27</f>
        <v>900.07303958451598</v>
      </c>
      <c r="I11" s="74">
        <f>Medicaid!AD27</f>
        <v>906.02102630425838</v>
      </c>
      <c r="J11" s="74">
        <f>Medicaid!AE27</f>
        <v>912.00831932966969</v>
      </c>
      <c r="K11" s="74">
        <f>Medicaid!AF27</f>
        <v>924.83519109058875</v>
      </c>
      <c r="L11" s="74">
        <f>Medicaid!AG27</f>
        <v>937.84246541547998</v>
      </c>
      <c r="M11" s="74"/>
    </row>
    <row r="12" spans="1:13" x14ac:dyDescent="0.25">
      <c r="A12" t="s">
        <v>55</v>
      </c>
      <c r="B12" t="s">
        <v>211</v>
      </c>
      <c r="C12" s="74">
        <f>Medicare!X10</f>
        <v>951.3</v>
      </c>
      <c r="D12" s="74">
        <f>Medicare!Y10</f>
        <v>960.04445976512864</v>
      </c>
      <c r="E12" s="74">
        <f>Medicare!Z10</f>
        <v>982.29155475727316</v>
      </c>
      <c r="F12" s="74">
        <f>Medicare!AA10</f>
        <v>1005.0541813277266</v>
      </c>
      <c r="G12" s="74">
        <f>Medicare!AB10</f>
        <v>1020.2898522178465</v>
      </c>
      <c r="H12" s="74">
        <f>Medicare!AC10</f>
        <v>1035.7564814699977</v>
      </c>
      <c r="I12" s="74">
        <f>Medicare!AD10</f>
        <v>1051.4575701945266</v>
      </c>
      <c r="J12" s="74">
        <f>Medicare!AE10</f>
        <v>1067.3966725753019</v>
      </c>
      <c r="K12" s="74">
        <f>Medicare!AF10</f>
        <v>1083.5773966742581</v>
      </c>
      <c r="L12" s="74">
        <f>Medicare!AG10</f>
        <v>1100.0034052481369</v>
      </c>
      <c r="M12" s="74"/>
    </row>
    <row r="13" spans="1:13" x14ac:dyDescent="0.25">
      <c r="A13" t="s">
        <v>212</v>
      </c>
      <c r="B13" t="s">
        <v>213</v>
      </c>
      <c r="C13" s="74">
        <f>'Rebate Checks (expired)'!X11</f>
        <v>0</v>
      </c>
      <c r="D13" s="74">
        <f>'Rebate Checks (expired)'!Y11</f>
        <v>0</v>
      </c>
      <c r="E13" s="74">
        <f>'Rebate Checks (expired)'!Z11</f>
        <v>0</v>
      </c>
      <c r="F13" s="74">
        <f>'Rebate Checks (expired)'!AA11</f>
        <v>0</v>
      </c>
      <c r="G13" s="74">
        <f>'Rebate Checks (expired)'!AB11</f>
        <v>0</v>
      </c>
      <c r="H13" s="74">
        <f>'Rebate Checks (expired)'!AC11</f>
        <v>0</v>
      </c>
      <c r="I13" s="74">
        <f>'Rebate Checks (expired)'!AD11</f>
        <v>0</v>
      </c>
      <c r="J13" s="74">
        <f>'Rebate Checks (expired)'!AE11</f>
        <v>0</v>
      </c>
      <c r="K13" s="74">
        <f>'Rebate Checks (expired)'!AF11</f>
        <v>0</v>
      </c>
      <c r="L13" s="74">
        <f>'Rebate Checks (expired)'!AG11</f>
        <v>0</v>
      </c>
      <c r="M13" s="74"/>
    </row>
    <row r="14" spans="1:13" x14ac:dyDescent="0.25">
      <c r="A14" t="s">
        <v>214</v>
      </c>
      <c r="B14" t="s">
        <v>215</v>
      </c>
      <c r="C14" s="74">
        <f>'Rebate Checks (expired)'!X10</f>
        <v>0</v>
      </c>
      <c r="D14" s="74">
        <f>'Rebate Checks (expired)'!Y10</f>
        <v>0</v>
      </c>
      <c r="E14" s="74">
        <f>'Rebate Checks (expired)'!Z10</f>
        <v>0</v>
      </c>
      <c r="F14" s="74">
        <f>'Rebate Checks (expired)'!AA10</f>
        <v>0</v>
      </c>
      <c r="G14" s="74">
        <f>'Rebate Checks (expired)'!AB10</f>
        <v>0</v>
      </c>
      <c r="H14" s="74">
        <f>'Rebate Checks (expired)'!AC10</f>
        <v>0</v>
      </c>
      <c r="I14" s="74">
        <f>'Rebate Checks (expired)'!AD10</f>
        <v>0</v>
      </c>
      <c r="J14" s="74">
        <f>'Rebate Checks (expired)'!AE10</f>
        <v>0</v>
      </c>
      <c r="K14" s="74">
        <f>'Rebate Checks (expired)'!AF10</f>
        <v>0</v>
      </c>
      <c r="L14" s="74">
        <f>'Rebate Checks (expired)'!AG10</f>
        <v>0</v>
      </c>
      <c r="M14" s="74"/>
    </row>
    <row r="15" spans="1:13" x14ac:dyDescent="0.25">
      <c r="A15" t="s">
        <v>216</v>
      </c>
      <c r="B15" t="s">
        <v>217</v>
      </c>
      <c r="C15" s="74">
        <f>'Social Benefits'!X24</f>
        <v>4.2219999999999995</v>
      </c>
      <c r="D15" s="74">
        <f>'Social Benefits'!Y24</f>
        <v>4.2219999999999995</v>
      </c>
      <c r="E15" s="74">
        <f>'Social Benefits'!Z24</f>
        <v>4.2219999999999995</v>
      </c>
      <c r="F15" s="74">
        <f>'Social Benefits'!AA24</f>
        <v>4.2219999999999995</v>
      </c>
      <c r="G15" s="74">
        <f>'Social Benefits'!AB24</f>
        <v>2.3719999999999999</v>
      </c>
      <c r="H15" s="74">
        <f>'Social Benefits'!AC24</f>
        <v>2.3719999999999999</v>
      </c>
      <c r="I15" s="74">
        <f>'Social Benefits'!AD24</f>
        <v>2.3719999999999999</v>
      </c>
      <c r="J15" s="74">
        <f>'Social Benefits'!AE24</f>
        <v>2.3719999999999999</v>
      </c>
      <c r="K15" s="74">
        <f>'Social Benefits'!AF24</f>
        <v>0.49</v>
      </c>
      <c r="L15" s="78">
        <f>'Social Benefits'!AG24</f>
        <v>0</v>
      </c>
      <c r="M15" s="74"/>
    </row>
    <row r="16" spans="1:13" x14ac:dyDescent="0.25">
      <c r="A16" t="s">
        <v>800</v>
      </c>
      <c r="B16" t="s">
        <v>219</v>
      </c>
      <c r="C16" s="74">
        <f>'Social Benefits'!X30</f>
        <v>1.4790000000000001</v>
      </c>
      <c r="D16" s="74">
        <f>'Social Benefits'!Y30</f>
        <v>1.4790000000000001</v>
      </c>
      <c r="E16" s="74">
        <f>'Social Benefits'!Z30</f>
        <v>1.4790000000000001</v>
      </c>
      <c r="F16" s="74">
        <f>'Social Benefits'!AA30</f>
        <v>1.4790000000000001</v>
      </c>
      <c r="G16" s="74">
        <f>'Social Benefits'!AB30</f>
        <v>1.63</v>
      </c>
      <c r="H16" s="74">
        <f>'Social Benefits'!AC30</f>
        <v>1.63</v>
      </c>
      <c r="I16" s="74">
        <f>'Social Benefits'!AD30</f>
        <v>1.63</v>
      </c>
      <c r="J16" s="74">
        <f>'Social Benefits'!AE30</f>
        <v>1.63</v>
      </c>
      <c r="K16" s="74">
        <f>'Social Benefits'!AF30</f>
        <v>1.671</v>
      </c>
      <c r="L16" s="78">
        <f>'Social Benefits'!AG30</f>
        <v>0</v>
      </c>
      <c r="M16" s="74"/>
    </row>
    <row r="17" spans="1:13" x14ac:dyDescent="0.25">
      <c r="A17" t="s">
        <v>220</v>
      </c>
      <c r="B17" t="s">
        <v>221</v>
      </c>
      <c r="C17" s="74">
        <f>'Social Benefits'!X33</f>
        <v>1954.2990000000002</v>
      </c>
      <c r="D17" s="74">
        <f>'Social Benefits'!Y33</f>
        <v>2006.9034662613335</v>
      </c>
      <c r="E17" s="74">
        <f>'Social Benefits'!Z33</f>
        <v>2013.8367995946669</v>
      </c>
      <c r="F17" s="74">
        <f>'Social Benefits'!AA33</f>
        <v>2020.7701329280003</v>
      </c>
      <c r="G17" s="74">
        <f>'Social Benefits'!AB33</f>
        <v>2029.2314662613337</v>
      </c>
      <c r="H17" s="74">
        <f>'Social Benefits'!AC33</f>
        <v>2070.6112103028831</v>
      </c>
      <c r="I17" s="74">
        <f>'Social Benefits'!AD33</f>
        <v>2077.5445436362165</v>
      </c>
      <c r="J17" s="74">
        <f>'Social Benefits'!AE33</f>
        <v>2084.4778769695499</v>
      </c>
      <c r="K17" s="74">
        <f>'Social Benefits'!AF33</f>
        <v>2075.1722103028833</v>
      </c>
      <c r="L17" s="78">
        <f>'Social Benefits'!AG33</f>
        <v>0</v>
      </c>
      <c r="M17" s="74"/>
    </row>
    <row r="18" spans="1:13" x14ac:dyDescent="0.25">
      <c r="A18" t="s">
        <v>222</v>
      </c>
      <c r="B18" t="s">
        <v>223</v>
      </c>
      <c r="C18" s="74">
        <f>'Social Benefits'!X38</f>
        <v>193.12402555814535</v>
      </c>
      <c r="D18" s="74">
        <f>'Social Benefits'!Y38</f>
        <v>196.29831211574134</v>
      </c>
      <c r="E18" s="74">
        <f>'Social Benefits'!Z38</f>
        <v>199.52477289205825</v>
      </c>
      <c r="F18" s="74">
        <f>'Social Benefits'!AA38</f>
        <v>202.80426544959073</v>
      </c>
      <c r="G18" s="74">
        <f>'Social Benefits'!AB38</f>
        <v>206.137661446175</v>
      </c>
      <c r="H18" s="74">
        <f>'Social Benefits'!AC38</f>
        <v>209.52584686666717</v>
      </c>
      <c r="I18" s="74">
        <f>'Social Benefits'!AD38</f>
        <v>212.9697222584295</v>
      </c>
      <c r="J18" s="74">
        <f>'Social Benefits'!AE38</f>
        <v>216.47020297068735</v>
      </c>
      <c r="K18" s="74">
        <f>'Social Benefits'!AF38</f>
        <v>220.02821939782032</v>
      </c>
      <c r="L18" s="74">
        <f>'Social Benefits'!AG38</f>
        <v>223.64471722665206</v>
      </c>
      <c r="M18" s="74"/>
    </row>
    <row r="19" spans="1:13" x14ac:dyDescent="0.25">
      <c r="A19" t="s">
        <v>224</v>
      </c>
      <c r="B19" t="s">
        <v>225</v>
      </c>
      <c r="C19" s="74">
        <f>Taxes!X9</f>
        <v>4200.6000000000004</v>
      </c>
      <c r="D19" s="74">
        <f>Taxes!Y9</f>
        <v>4407.3304337474447</v>
      </c>
      <c r="E19" s="74">
        <f>Taxes!Z9</f>
        <v>4435.3774172156645</v>
      </c>
      <c r="F19" s="74">
        <f>Taxes!AA9</f>
        <v>4463.6187188208378</v>
      </c>
      <c r="G19" s="74">
        <f>Taxes!AB9</f>
        <v>4498.0670391494805</v>
      </c>
      <c r="H19" s="74">
        <f>Taxes!AC9</f>
        <v>4571.1229021772006</v>
      </c>
      <c r="I19" s="74">
        <f>Taxes!AD9</f>
        <v>4606.3838530771181</v>
      </c>
      <c r="J19" s="74">
        <f>Taxes!AE9</f>
        <v>4641.9617795025433</v>
      </c>
      <c r="K19" s="74">
        <f>Taxes!AF9</f>
        <v>4677.8599008040728</v>
      </c>
      <c r="L19" s="74">
        <f>Taxes!AG9</f>
        <v>4753.760939499768</v>
      </c>
      <c r="M19" s="74"/>
    </row>
    <row r="20" spans="1:13" x14ac:dyDescent="0.25">
      <c r="A20" t="s">
        <v>226</v>
      </c>
      <c r="B20" t="s">
        <v>227</v>
      </c>
      <c r="C20" s="74">
        <f>Taxes!X19</f>
        <v>2293</v>
      </c>
      <c r="D20" s="74">
        <f>Taxes!Y19</f>
        <v>2316.1686297255928</v>
      </c>
      <c r="E20" s="74">
        <f>Taxes!Z19</f>
        <v>2337.5883974330204</v>
      </c>
      <c r="F20" s="74">
        <f>Taxes!AA19</f>
        <v>2360.0841674105036</v>
      </c>
      <c r="G20" s="74">
        <f>Taxes!AB19</f>
        <v>2383.5993279660834</v>
      </c>
      <c r="H20" s="74">
        <f>Taxes!AC19</f>
        <v>2409.1352607529634</v>
      </c>
      <c r="I20" s="74">
        <f>Taxes!AD19</f>
        <v>2434.5961435104973</v>
      </c>
      <c r="J20" s="74">
        <f>Taxes!AE19</f>
        <v>2459.8496169390455</v>
      </c>
      <c r="K20" s="74">
        <f>Taxes!AF19</f>
        <v>2485.6390474771665</v>
      </c>
      <c r="L20" s="74">
        <f>Taxes!AG19</f>
        <v>2509.5344853097204</v>
      </c>
      <c r="M20" s="74"/>
    </row>
    <row r="21" spans="1:13" x14ac:dyDescent="0.25">
      <c r="A21" t="s">
        <v>228</v>
      </c>
      <c r="B21" t="s">
        <v>229</v>
      </c>
      <c r="C21" s="74">
        <f>Taxes!X16</f>
        <v>427.63194290122209</v>
      </c>
      <c r="D21" s="74">
        <f>Taxes!Y16</f>
        <v>437.48583394611023</v>
      </c>
      <c r="E21" s="74">
        <f>Taxes!Z16</f>
        <v>447.5667874692262</v>
      </c>
      <c r="F21" s="74">
        <f>Taxes!AA16</f>
        <v>457.88003565436259</v>
      </c>
      <c r="G21" s="74">
        <f>Taxes!AB16</f>
        <v>466.64560814573349</v>
      </c>
      <c r="H21" s="74">
        <f>Taxes!AC16</f>
        <v>475.57898716964229</v>
      </c>
      <c r="I21" s="74">
        <f>Taxes!AD16</f>
        <v>484.68338518396206</v>
      </c>
      <c r="J21" s="74">
        <f>Taxes!AE16</f>
        <v>493.96207614527782</v>
      </c>
      <c r="K21" s="74">
        <f>Taxes!AF16</f>
        <v>503.41839668620651</v>
      </c>
      <c r="L21" s="74">
        <f>Taxes!AG16</f>
        <v>513.05574731525576</v>
      </c>
      <c r="M21" s="74"/>
    </row>
    <row r="22" spans="1:13" x14ac:dyDescent="0.25">
      <c r="A22" t="s">
        <v>230</v>
      </c>
      <c r="B22" t="s">
        <v>231</v>
      </c>
      <c r="C22" s="74">
        <f>Taxes!X25</f>
        <v>146.92064689245049</v>
      </c>
      <c r="D22" s="74">
        <f>Taxes!Y25</f>
        <v>148.03139458989045</v>
      </c>
      <c r="E22" s="74">
        <f>Taxes!Z25</f>
        <v>148.78627166582055</v>
      </c>
      <c r="F22" s="74">
        <f>Taxes!AA25</f>
        <v>149.10979041264773</v>
      </c>
      <c r="G22" s="74">
        <f>Taxes!AB25</f>
        <v>150.40386539995646</v>
      </c>
      <c r="H22" s="74">
        <f>Taxes!AC25</f>
        <v>151.04011893538325</v>
      </c>
      <c r="I22" s="74">
        <f>Taxes!AD25</f>
        <v>152.31262600623683</v>
      </c>
      <c r="J22" s="74">
        <f>Taxes!AE25</f>
        <v>153.81159619986943</v>
      </c>
      <c r="K22" s="74">
        <f>Taxes!AF25</f>
        <v>155.66643701501195</v>
      </c>
      <c r="L22" s="74">
        <f>Taxes!AG25</f>
        <v>155.51006962071213</v>
      </c>
      <c r="M22" s="74"/>
    </row>
    <row r="23" spans="1:13" x14ac:dyDescent="0.25">
      <c r="A23" s="35" t="s">
        <v>1390</v>
      </c>
      <c r="B23" t="s">
        <v>1389</v>
      </c>
      <c r="C23" s="74">
        <f>'Student loans'!X11</f>
        <v>2.1006180000000003</v>
      </c>
      <c r="D23" s="74">
        <f>'Student loans'!Y11</f>
        <v>2.5815300000000003</v>
      </c>
      <c r="E23" s="74">
        <f>'Student loans'!Z11</f>
        <v>2.6040450000000002</v>
      </c>
      <c r="F23" s="74">
        <f>'Student loans'!AA11</f>
        <v>2.626465</v>
      </c>
      <c r="G23" s="74">
        <f>'Student loans'!AB11</f>
        <v>2.6498349999999999</v>
      </c>
      <c r="H23" s="74">
        <f>'Student loans'!AC11</f>
        <v>2.6454420000000001</v>
      </c>
      <c r="I23" s="74">
        <f>'Student loans'!AD11</f>
        <v>2.6696</v>
      </c>
      <c r="J23" s="74">
        <f>'Student loans'!AE11</f>
        <v>2.693006</v>
      </c>
      <c r="K23" s="74">
        <f>'Student loans'!AF11</f>
        <v>2.7175400000000001</v>
      </c>
      <c r="L23" s="74">
        <f>'Student loans'!AG11</f>
        <v>2.7175400000000001</v>
      </c>
      <c r="M23" s="74"/>
    </row>
    <row r="24" spans="1:13" x14ac:dyDescent="0.25">
      <c r="A24" s="79"/>
      <c r="B24" t="s">
        <v>1919</v>
      </c>
      <c r="C24" s="74">
        <f>'Supply Side IRA'!X14</f>
        <v>107.09511973283159</v>
      </c>
      <c r="D24" s="74">
        <f>'Supply Side IRA'!Y14</f>
        <v>123.43068098270146</v>
      </c>
      <c r="E24" s="74">
        <f>'Supply Side IRA'!Z14</f>
        <v>119.51894569293765</v>
      </c>
      <c r="F24" s="74">
        <f>'Supply Side IRA'!AA14</f>
        <v>107.43906054902104</v>
      </c>
      <c r="G24" s="74">
        <f>'Supply Side IRA'!AB14</f>
        <v>95.582557225578753</v>
      </c>
      <c r="H24" s="74">
        <f>'Supply Side IRA'!AC14</f>
        <v>78.523007434537817</v>
      </c>
      <c r="I24" s="74">
        <f>'Supply Side IRA'!AD14</f>
        <v>64.241006460387624</v>
      </c>
      <c r="J24" s="74">
        <f>'Supply Side IRA'!AE14</f>
        <v>53.828884603674005</v>
      </c>
      <c r="K24" s="74">
        <f>'Supply Side IRA'!AF14</f>
        <v>54.123937667515193</v>
      </c>
      <c r="L24" s="78">
        <f>'Supply Side IRA'!AG14</f>
        <v>0</v>
      </c>
    </row>
    <row r="25" spans="1:13" x14ac:dyDescent="0.25">
      <c r="A25" s="47"/>
      <c r="C25" s="71"/>
      <c r="D25" s="71"/>
      <c r="E25" s="71"/>
      <c r="F25" s="71"/>
      <c r="G25" s="71"/>
      <c r="H25" s="71"/>
    </row>
    <row r="26" spans="1:13" x14ac:dyDescent="0.25">
      <c r="A26" s="47"/>
      <c r="C26" s="71"/>
      <c r="D26" s="71"/>
      <c r="E26" s="71"/>
      <c r="F26" s="71"/>
      <c r="G26" s="71"/>
      <c r="H26" s="71"/>
    </row>
    <row r="27" spans="1:13" x14ac:dyDescent="0.25">
      <c r="A27" s="47"/>
      <c r="C27" s="71"/>
      <c r="D27" s="71"/>
      <c r="E27" s="71"/>
      <c r="F27" s="71"/>
      <c r="G27" s="71"/>
      <c r="H27" s="71"/>
    </row>
    <row r="28" spans="1:13" x14ac:dyDescent="0.25">
      <c r="A28" s="35"/>
      <c r="C28" s="71"/>
      <c r="D28" s="71"/>
      <c r="E28" s="71"/>
      <c r="F28" s="71"/>
      <c r="G28" s="71"/>
      <c r="H28" s="71"/>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Z93"/>
  <sheetViews>
    <sheetView zoomScale="120" zoomScaleNormal="120" workbookViewId="0">
      <pane xSplit="2" ySplit="7" topLeftCell="L81" activePane="bottomRight" state="frozen"/>
      <selection pane="topRight" activeCell="C1" sqref="C1"/>
      <selection pane="bottomLeft" activeCell="A8" sqref="A8"/>
      <selection pane="bottomRight" activeCell="O93" sqref="O93"/>
    </sheetView>
  </sheetViews>
  <sheetFormatPr defaultColWidth="10.85546875" defaultRowHeight="15" x14ac:dyDescent="0.25"/>
  <cols>
    <col min="1" max="1" width="6.5703125" customWidth="1"/>
    <col min="2" max="2" width="65" customWidth="1"/>
    <col min="3" max="14" width="11.5703125" customWidth="1"/>
    <col min="15" max="15" width="11.5703125" style="1279" customWidth="1"/>
    <col min="16" max="16" width="11.5703125" style="1292" customWidth="1"/>
    <col min="17" max="17" width="11.5703125" style="1305" customWidth="1"/>
    <col min="18" max="18" width="11.5703125" style="1279" customWidth="1"/>
    <col min="19" max="19" width="11.5703125" style="1292" customWidth="1"/>
    <col min="20" max="20" width="11.5703125" style="1305" customWidth="1"/>
    <col min="21" max="21" width="11.5703125" style="1279" customWidth="1"/>
    <col min="22" max="22" width="11.5703125" style="1292" customWidth="1"/>
  </cols>
  <sheetData>
    <row r="2" spans="1:26" ht="21" customHeight="1" x14ac:dyDescent="0.35">
      <c r="A2" s="1342" t="s">
        <v>1820</v>
      </c>
      <c r="B2" s="1342"/>
      <c r="C2" s="1342"/>
      <c r="D2" s="1342"/>
      <c r="E2" s="1342"/>
      <c r="F2" s="1342"/>
      <c r="G2" s="1342"/>
      <c r="H2" s="1342"/>
      <c r="I2" s="1342"/>
      <c r="J2" s="1342"/>
      <c r="K2" s="95"/>
      <c r="L2" s="174"/>
      <c r="M2" s="96"/>
      <c r="N2" s="161"/>
      <c r="O2" s="174"/>
      <c r="P2" s="96"/>
      <c r="Q2" s="161"/>
      <c r="R2" s="174"/>
      <c r="S2" s="96"/>
      <c r="T2" s="161"/>
      <c r="U2" s="174"/>
      <c r="V2" s="96"/>
      <c r="W2" s="76"/>
      <c r="X2" s="76"/>
      <c r="Y2" s="76"/>
      <c r="Z2" s="76"/>
    </row>
    <row r="3" spans="1:26" x14ac:dyDescent="0.25">
      <c r="A3" s="76" t="s">
        <v>887</v>
      </c>
      <c r="B3" s="76"/>
      <c r="C3" s="76"/>
      <c r="D3" s="76"/>
      <c r="E3" s="76"/>
      <c r="F3" s="76"/>
      <c r="G3" s="76"/>
      <c r="H3" s="76"/>
      <c r="I3" s="76"/>
      <c r="J3" s="76"/>
      <c r="K3" s="76"/>
      <c r="L3" s="175"/>
      <c r="M3" s="97"/>
      <c r="N3" s="162"/>
      <c r="O3" s="175"/>
      <c r="P3" s="97"/>
      <c r="Q3" s="162"/>
      <c r="R3" s="175"/>
      <c r="S3" s="97"/>
      <c r="T3" s="162"/>
      <c r="U3" s="175"/>
      <c r="V3" s="97"/>
      <c r="W3" s="76"/>
      <c r="X3" s="76"/>
      <c r="Y3" s="76"/>
      <c r="Z3" s="76"/>
    </row>
    <row r="4" spans="1:26" ht="15" customHeight="1" x14ac:dyDescent="0.25">
      <c r="A4" s="1343"/>
      <c r="B4" s="1343"/>
      <c r="C4" s="1343"/>
      <c r="D4" s="143"/>
      <c r="E4" s="143"/>
      <c r="F4" s="143"/>
      <c r="G4" s="143"/>
      <c r="H4" s="143"/>
      <c r="I4" s="143"/>
      <c r="J4" s="143"/>
      <c r="K4" s="143"/>
      <c r="L4" s="176"/>
      <c r="M4" s="98"/>
      <c r="N4" s="164"/>
      <c r="O4" s="176"/>
      <c r="P4" s="98"/>
      <c r="Q4" s="164"/>
      <c r="R4" s="176"/>
      <c r="S4" s="98"/>
      <c r="T4" s="164"/>
      <c r="U4" s="176"/>
      <c r="V4" s="98"/>
    </row>
    <row r="5" spans="1:26" x14ac:dyDescent="0.25">
      <c r="A5" s="1344" t="s">
        <v>818</v>
      </c>
      <c r="B5" s="1347"/>
      <c r="C5" s="1350" t="s">
        <v>900</v>
      </c>
      <c r="D5" s="1350" t="s">
        <v>900</v>
      </c>
      <c r="E5" s="1350" t="s">
        <v>900</v>
      </c>
      <c r="F5" s="1350" t="s">
        <v>900</v>
      </c>
      <c r="G5" s="1350" t="s">
        <v>900</v>
      </c>
      <c r="H5" s="1350" t="s">
        <v>900</v>
      </c>
      <c r="I5" s="1350" t="s">
        <v>900</v>
      </c>
      <c r="J5" s="1351" t="s">
        <v>900</v>
      </c>
      <c r="K5" s="129"/>
      <c r="L5" s="177"/>
      <c r="M5" s="100"/>
      <c r="N5" s="165"/>
      <c r="O5" s="177"/>
      <c r="P5" s="100"/>
      <c r="Q5" s="165"/>
      <c r="R5" s="177"/>
      <c r="S5" s="100"/>
      <c r="T5" s="165"/>
      <c r="U5" s="177"/>
      <c r="V5" s="100"/>
    </row>
    <row r="6" spans="1:26" x14ac:dyDescent="0.25">
      <c r="A6" s="1345" t="s">
        <v>818</v>
      </c>
      <c r="B6" s="1348"/>
      <c r="C6" s="1352">
        <v>2022</v>
      </c>
      <c r="D6" s="1353"/>
      <c r="E6" s="1353"/>
      <c r="F6" s="1353"/>
      <c r="G6" s="1353"/>
      <c r="H6" s="1354"/>
      <c r="I6" s="1352">
        <v>2023</v>
      </c>
      <c r="J6" s="1353">
        <v>2023</v>
      </c>
      <c r="K6" s="1354">
        <v>2023</v>
      </c>
      <c r="L6" s="178"/>
      <c r="M6" s="101"/>
      <c r="N6" s="166"/>
      <c r="O6" s="178"/>
      <c r="P6" s="101"/>
      <c r="Q6" s="166"/>
      <c r="R6" s="178"/>
      <c r="S6" s="101"/>
      <c r="T6" s="166"/>
      <c r="U6" s="178"/>
      <c r="V6" s="101"/>
    </row>
    <row r="7" spans="1:26" ht="32.450000000000003" customHeight="1" x14ac:dyDescent="0.25">
      <c r="A7" s="1346" t="s">
        <v>818</v>
      </c>
      <c r="B7" s="1349"/>
      <c r="C7" s="132" t="s">
        <v>1762</v>
      </c>
      <c r="D7" s="132" t="s">
        <v>1840</v>
      </c>
      <c r="E7" s="132" t="s">
        <v>1841</v>
      </c>
      <c r="F7" s="132" t="s">
        <v>1845</v>
      </c>
      <c r="G7" s="132" t="s">
        <v>1846</v>
      </c>
      <c r="H7" s="132" t="s">
        <v>1847</v>
      </c>
      <c r="I7" s="132" t="s">
        <v>234</v>
      </c>
      <c r="J7" s="132" t="s">
        <v>235</v>
      </c>
      <c r="K7" s="132" t="s">
        <v>1922</v>
      </c>
      <c r="L7" s="114" t="s">
        <v>1933</v>
      </c>
      <c r="M7" s="102" t="s">
        <v>1934</v>
      </c>
      <c r="N7" s="107" t="s">
        <v>1963</v>
      </c>
      <c r="O7" s="1273" t="s">
        <v>2277</v>
      </c>
      <c r="P7" s="1286" t="s">
        <v>1840</v>
      </c>
      <c r="Q7" s="1299" t="s">
        <v>1841</v>
      </c>
      <c r="R7" s="1273" t="s">
        <v>1845</v>
      </c>
      <c r="S7" s="1286" t="s">
        <v>1846</v>
      </c>
      <c r="T7" s="1299" t="s">
        <v>1847</v>
      </c>
      <c r="U7" s="1273" t="s">
        <v>901</v>
      </c>
      <c r="V7" s="1286" t="s">
        <v>2278</v>
      </c>
      <c r="W7" s="156" t="s">
        <v>1942</v>
      </c>
    </row>
    <row r="8" spans="1:26" x14ac:dyDescent="0.25">
      <c r="A8" s="124">
        <v>1</v>
      </c>
      <c r="B8" s="60" t="s">
        <v>239</v>
      </c>
      <c r="C8" s="133">
        <v>21852.3</v>
      </c>
      <c r="D8" s="133">
        <v>21975.8</v>
      </c>
      <c r="E8" s="134">
        <v>22080.400000000001</v>
      </c>
      <c r="F8" s="134">
        <v>22201.9</v>
      </c>
      <c r="G8" s="134">
        <v>22240.1</v>
      </c>
      <c r="H8" s="134">
        <v>22281.9</v>
      </c>
      <c r="I8" s="133">
        <v>22525.3</v>
      </c>
      <c r="J8" s="134">
        <v>22648.400000000001</v>
      </c>
      <c r="K8" s="133">
        <v>22757.9</v>
      </c>
      <c r="L8" s="115">
        <v>22806.1</v>
      </c>
      <c r="M8" s="103">
        <v>22876.6</v>
      </c>
      <c r="N8" s="108">
        <v>22921.4</v>
      </c>
      <c r="O8" s="1274">
        <v>22986.400000000001</v>
      </c>
      <c r="P8" s="1287">
        <v>23094.5</v>
      </c>
      <c r="Q8" s="1300">
        <v>23176.2</v>
      </c>
      <c r="R8" s="1280">
        <v>23230.9</v>
      </c>
      <c r="S8" s="1287">
        <v>23319.7</v>
      </c>
      <c r="T8" s="1300">
        <v>23397</v>
      </c>
      <c r="U8" s="1280">
        <v>23627.9</v>
      </c>
      <c r="V8" s="1293">
        <v>23694.3</v>
      </c>
    </row>
    <row r="9" spans="1:26" x14ac:dyDescent="0.25">
      <c r="A9" s="125">
        <v>2</v>
      </c>
      <c r="B9" s="157" t="s">
        <v>1763</v>
      </c>
      <c r="C9" s="135">
        <v>13654.1</v>
      </c>
      <c r="D9" s="135">
        <v>13754.9</v>
      </c>
      <c r="E9" s="136">
        <v>13856.1</v>
      </c>
      <c r="F9" s="136">
        <v>13828.8</v>
      </c>
      <c r="G9" s="136">
        <v>13822.8</v>
      </c>
      <c r="H9" s="136">
        <v>13832.7</v>
      </c>
      <c r="I9" s="135">
        <v>13885.2</v>
      </c>
      <c r="J9" s="136">
        <v>13968.7</v>
      </c>
      <c r="K9" s="135">
        <v>14041.7</v>
      </c>
      <c r="L9" s="81">
        <v>14092.7</v>
      </c>
      <c r="M9" s="104">
        <v>14151.1</v>
      </c>
      <c r="N9" s="109">
        <v>14218.6</v>
      </c>
      <c r="O9" s="1275">
        <v>14296.4</v>
      </c>
      <c r="P9" s="1288">
        <v>14372.7</v>
      </c>
      <c r="Q9" s="1301">
        <v>14437.1</v>
      </c>
      <c r="R9" s="1281">
        <v>14463.6</v>
      </c>
      <c r="S9" s="1288">
        <v>14525.8</v>
      </c>
      <c r="T9" s="1301">
        <v>14589</v>
      </c>
      <c r="U9" s="1281">
        <v>14645</v>
      </c>
      <c r="V9" s="1294">
        <v>14747.9</v>
      </c>
    </row>
    <row r="10" spans="1:26" x14ac:dyDescent="0.25">
      <c r="A10" s="125">
        <v>3</v>
      </c>
      <c r="B10" s="158" t="s">
        <v>1764</v>
      </c>
      <c r="C10" s="135">
        <v>11271.8</v>
      </c>
      <c r="D10" s="135">
        <v>11360.7</v>
      </c>
      <c r="E10" s="136">
        <v>11450.6</v>
      </c>
      <c r="F10" s="136">
        <v>11420.4</v>
      </c>
      <c r="G10" s="136">
        <v>11408.7</v>
      </c>
      <c r="H10" s="136">
        <v>11412.7</v>
      </c>
      <c r="I10" s="135">
        <v>11494.7</v>
      </c>
      <c r="J10" s="136">
        <v>11568.5</v>
      </c>
      <c r="K10" s="135">
        <v>11633.1</v>
      </c>
      <c r="L10" s="81">
        <v>11680.1</v>
      </c>
      <c r="M10" s="104">
        <v>11730.8</v>
      </c>
      <c r="N10" s="109">
        <v>11788.9</v>
      </c>
      <c r="O10" s="1275">
        <v>11855.6</v>
      </c>
      <c r="P10" s="1288">
        <v>11921.2</v>
      </c>
      <c r="Q10" s="1301">
        <v>11975.7</v>
      </c>
      <c r="R10" s="1281">
        <v>11995.3</v>
      </c>
      <c r="S10" s="1288">
        <v>12048.8</v>
      </c>
      <c r="T10" s="1301">
        <v>12102.9</v>
      </c>
      <c r="U10" s="1281">
        <v>12144.2</v>
      </c>
      <c r="V10" s="1294">
        <v>12236.2</v>
      </c>
    </row>
    <row r="11" spans="1:26" x14ac:dyDescent="0.25">
      <c r="A11" s="125">
        <v>4</v>
      </c>
      <c r="B11" s="163" t="s">
        <v>1765</v>
      </c>
      <c r="C11" s="137">
        <v>9656.4</v>
      </c>
      <c r="D11" s="137">
        <v>9735.9</v>
      </c>
      <c r="E11" s="138">
        <v>9819.5</v>
      </c>
      <c r="F11" s="138">
        <v>9785.7999999999993</v>
      </c>
      <c r="G11" s="138">
        <v>9763.9</v>
      </c>
      <c r="H11" s="138">
        <v>9762.2999999999993</v>
      </c>
      <c r="I11" s="137">
        <v>9818.2999999999993</v>
      </c>
      <c r="J11" s="138">
        <v>9882.7999999999993</v>
      </c>
      <c r="K11" s="137">
        <v>9937.7000000000007</v>
      </c>
      <c r="L11" s="82">
        <v>9976.9</v>
      </c>
      <c r="M11" s="105">
        <v>10019.799999999999</v>
      </c>
      <c r="N11" s="110">
        <v>10070.4</v>
      </c>
      <c r="O11" s="1276">
        <v>10117.4</v>
      </c>
      <c r="P11" s="1289">
        <v>10167.9</v>
      </c>
      <c r="Q11" s="1302">
        <v>10207.1</v>
      </c>
      <c r="R11" s="1282">
        <v>10216</v>
      </c>
      <c r="S11" s="1289">
        <v>10262.799999999999</v>
      </c>
      <c r="T11" s="1302">
        <v>10305.9</v>
      </c>
      <c r="U11" s="1282">
        <v>10334.6</v>
      </c>
      <c r="V11" s="1295">
        <v>10414.299999999999</v>
      </c>
    </row>
    <row r="12" spans="1:26" x14ac:dyDescent="0.25">
      <c r="A12" s="125">
        <v>5</v>
      </c>
      <c r="B12" s="159" t="s">
        <v>1766</v>
      </c>
      <c r="C12" s="137">
        <v>1767.7</v>
      </c>
      <c r="D12" s="137">
        <v>1780.1</v>
      </c>
      <c r="E12" s="138">
        <v>1797.4</v>
      </c>
      <c r="F12" s="138">
        <v>1795.8</v>
      </c>
      <c r="G12" s="138">
        <v>1793.7</v>
      </c>
      <c r="H12" s="138">
        <v>1789.6</v>
      </c>
      <c r="I12" s="137">
        <v>1804.5</v>
      </c>
      <c r="J12" s="138">
        <v>1806.7</v>
      </c>
      <c r="K12" s="137">
        <v>1818.5</v>
      </c>
      <c r="L12" s="82">
        <v>1828.4</v>
      </c>
      <c r="M12" s="105">
        <v>1836.7</v>
      </c>
      <c r="N12" s="110">
        <v>1847.2</v>
      </c>
      <c r="O12" s="1276">
        <v>1859</v>
      </c>
      <c r="P12" s="1289">
        <v>1867.1</v>
      </c>
      <c r="Q12" s="1302">
        <v>1876.1</v>
      </c>
      <c r="R12" s="1282">
        <v>1881.4</v>
      </c>
      <c r="S12" s="1289">
        <v>1898.2</v>
      </c>
      <c r="T12" s="1302">
        <v>1893.9</v>
      </c>
      <c r="U12" s="1282">
        <v>1897.3</v>
      </c>
      <c r="V12" s="1295">
        <v>1912.4</v>
      </c>
    </row>
    <row r="13" spans="1:26" x14ac:dyDescent="0.25">
      <c r="A13" s="125">
        <v>6</v>
      </c>
      <c r="B13" s="173" t="s">
        <v>1767</v>
      </c>
      <c r="C13" s="137">
        <v>1046.3</v>
      </c>
      <c r="D13" s="137">
        <v>1054.4000000000001</v>
      </c>
      <c r="E13" s="138">
        <v>1064.8</v>
      </c>
      <c r="F13" s="138">
        <v>1061.4000000000001</v>
      </c>
      <c r="G13" s="138">
        <v>1055.5</v>
      </c>
      <c r="H13" s="138">
        <v>1046.9000000000001</v>
      </c>
      <c r="I13" s="137">
        <v>1066</v>
      </c>
      <c r="J13" s="138">
        <v>1064.3</v>
      </c>
      <c r="K13" s="137">
        <v>1071.2</v>
      </c>
      <c r="L13" s="82">
        <v>1077.3</v>
      </c>
      <c r="M13" s="105">
        <v>1079.5</v>
      </c>
      <c r="N13" s="110">
        <v>1088.5999999999999</v>
      </c>
      <c r="O13" s="1276">
        <v>1096.9000000000001</v>
      </c>
      <c r="P13" s="1289">
        <v>1102.2</v>
      </c>
      <c r="Q13" s="1302">
        <v>1108.5999999999999</v>
      </c>
      <c r="R13" s="1282">
        <v>1108.2</v>
      </c>
      <c r="S13" s="1289">
        <v>1120.7</v>
      </c>
      <c r="T13" s="1302">
        <v>1112.4000000000001</v>
      </c>
      <c r="U13" s="1282">
        <v>1112.8</v>
      </c>
      <c r="V13" s="1295">
        <v>1123.4000000000001</v>
      </c>
    </row>
    <row r="14" spans="1:26" x14ac:dyDescent="0.25">
      <c r="A14" s="125">
        <v>7</v>
      </c>
      <c r="B14" s="159" t="s">
        <v>1768</v>
      </c>
      <c r="C14" s="137">
        <v>7888.7</v>
      </c>
      <c r="D14" s="137">
        <v>7955.8</v>
      </c>
      <c r="E14" s="138">
        <v>8022.1</v>
      </c>
      <c r="F14" s="138">
        <v>7990</v>
      </c>
      <c r="G14" s="138">
        <v>7970.1</v>
      </c>
      <c r="H14" s="138">
        <v>7972.7</v>
      </c>
      <c r="I14" s="137">
        <v>8013.8</v>
      </c>
      <c r="J14" s="138">
        <v>8076.2</v>
      </c>
      <c r="K14" s="137">
        <v>8119.2</v>
      </c>
      <c r="L14" s="82">
        <v>8148.5</v>
      </c>
      <c r="M14" s="105">
        <v>8183.1</v>
      </c>
      <c r="N14" s="110">
        <v>8223.2000000000007</v>
      </c>
      <c r="O14" s="1276">
        <v>8258.4</v>
      </c>
      <c r="P14" s="1289">
        <v>8300.7999999999993</v>
      </c>
      <c r="Q14" s="1302">
        <v>8331</v>
      </c>
      <c r="R14" s="1282">
        <v>8334.6</v>
      </c>
      <c r="S14" s="1289">
        <v>8364.6</v>
      </c>
      <c r="T14" s="1302">
        <v>8412.1</v>
      </c>
      <c r="U14" s="1282">
        <v>8437.2000000000007</v>
      </c>
      <c r="V14" s="1295">
        <v>8501.9</v>
      </c>
    </row>
    <row r="15" spans="1:26" x14ac:dyDescent="0.25">
      <c r="A15" s="125">
        <v>8</v>
      </c>
      <c r="B15" s="84" t="s">
        <v>1769</v>
      </c>
      <c r="C15" s="137">
        <v>1734</v>
      </c>
      <c r="D15" s="137">
        <v>1748.4</v>
      </c>
      <c r="E15" s="138">
        <v>1762.3</v>
      </c>
      <c r="F15" s="138">
        <v>1757.7</v>
      </c>
      <c r="G15" s="138">
        <v>1749.7</v>
      </c>
      <c r="H15" s="138">
        <v>1745.6</v>
      </c>
      <c r="I15" s="137">
        <v>1778.8</v>
      </c>
      <c r="J15" s="138">
        <v>1795.8</v>
      </c>
      <c r="K15" s="137">
        <v>1796</v>
      </c>
      <c r="L15" s="82">
        <v>1797.8</v>
      </c>
      <c r="M15" s="105">
        <v>1793.1</v>
      </c>
      <c r="N15" s="110">
        <v>1804.5</v>
      </c>
      <c r="O15" s="1276">
        <v>1816.7</v>
      </c>
      <c r="P15" s="1289">
        <v>1828</v>
      </c>
      <c r="Q15" s="1302">
        <v>1837.3</v>
      </c>
      <c r="R15" s="1282">
        <v>1833.5</v>
      </c>
      <c r="S15" s="1289">
        <v>1835.4</v>
      </c>
      <c r="T15" s="1302">
        <v>1849.1</v>
      </c>
      <c r="U15" s="1282">
        <v>1845.4</v>
      </c>
      <c r="V15" s="1295">
        <v>1861.2</v>
      </c>
    </row>
    <row r="16" spans="1:26" x14ac:dyDescent="0.25">
      <c r="A16" s="125">
        <v>9</v>
      </c>
      <c r="B16" s="84" t="s">
        <v>1770</v>
      </c>
      <c r="C16" s="137">
        <v>6154.8</v>
      </c>
      <c r="D16" s="137">
        <v>6207.4</v>
      </c>
      <c r="E16" s="138">
        <v>6259.8</v>
      </c>
      <c r="F16" s="138">
        <v>6232.2</v>
      </c>
      <c r="G16" s="138">
        <v>6220.4</v>
      </c>
      <c r="H16" s="138">
        <v>6227.2</v>
      </c>
      <c r="I16" s="137">
        <v>6235</v>
      </c>
      <c r="J16" s="138">
        <v>6280.4</v>
      </c>
      <c r="K16" s="137">
        <v>6323.1</v>
      </c>
      <c r="L16" s="82">
        <v>6350.7</v>
      </c>
      <c r="M16" s="105">
        <v>6390</v>
      </c>
      <c r="N16" s="110">
        <v>6418.7</v>
      </c>
      <c r="O16" s="1276">
        <v>6441.7</v>
      </c>
      <c r="P16" s="1289">
        <v>6472.8</v>
      </c>
      <c r="Q16" s="1302">
        <v>6493.8</v>
      </c>
      <c r="R16" s="1282">
        <v>6501.1</v>
      </c>
      <c r="S16" s="1289">
        <v>6529.2</v>
      </c>
      <c r="T16" s="1302">
        <v>6563</v>
      </c>
      <c r="U16" s="1282">
        <v>6591.9</v>
      </c>
      <c r="V16" s="1295">
        <v>6640.7</v>
      </c>
    </row>
    <row r="17" spans="1:24" ht="16.350000000000001" customHeight="1" x14ac:dyDescent="0.25">
      <c r="A17" s="125">
        <v>10</v>
      </c>
      <c r="B17" s="163" t="s">
        <v>1771</v>
      </c>
      <c r="C17" s="137">
        <v>1615.4</v>
      </c>
      <c r="D17" s="137">
        <v>1624.8</v>
      </c>
      <c r="E17" s="138">
        <v>1631.1</v>
      </c>
      <c r="F17" s="138">
        <v>1634.6</v>
      </c>
      <c r="G17" s="138">
        <v>1644.8</v>
      </c>
      <c r="H17" s="138">
        <v>1650.4</v>
      </c>
      <c r="I17" s="137">
        <v>1676.4</v>
      </c>
      <c r="J17" s="138">
        <v>1685.7</v>
      </c>
      <c r="K17" s="137">
        <v>1695.5</v>
      </c>
      <c r="L17" s="82">
        <v>1703.2</v>
      </c>
      <c r="M17" s="105">
        <v>1711</v>
      </c>
      <c r="N17" s="110">
        <v>1718.6</v>
      </c>
      <c r="O17" s="1276">
        <v>1738.2</v>
      </c>
      <c r="P17" s="1289">
        <v>1753.3</v>
      </c>
      <c r="Q17" s="1302">
        <v>1768.6</v>
      </c>
      <c r="R17" s="1282">
        <v>1779.3</v>
      </c>
      <c r="S17" s="1289">
        <v>1786</v>
      </c>
      <c r="T17" s="1302">
        <v>1797</v>
      </c>
      <c r="U17" s="1282">
        <v>1809.6</v>
      </c>
      <c r="V17" s="1295">
        <v>1821.9</v>
      </c>
    </row>
    <row r="18" spans="1:24" ht="16.350000000000001" customHeight="1" x14ac:dyDescent="0.25">
      <c r="A18" s="125">
        <v>11</v>
      </c>
      <c r="B18" s="158" t="s">
        <v>1772</v>
      </c>
      <c r="C18" s="135">
        <v>2382.3000000000002</v>
      </c>
      <c r="D18" s="135">
        <v>2394.1</v>
      </c>
      <c r="E18" s="136">
        <v>2405.5</v>
      </c>
      <c r="F18" s="136">
        <v>2408.5</v>
      </c>
      <c r="G18" s="136">
        <v>2414.1</v>
      </c>
      <c r="H18" s="136">
        <v>2420</v>
      </c>
      <c r="I18" s="135">
        <v>2390.6</v>
      </c>
      <c r="J18" s="136">
        <v>2400.1999999999998</v>
      </c>
      <c r="K18" s="135">
        <v>2408.6</v>
      </c>
      <c r="L18" s="81">
        <v>2412.6</v>
      </c>
      <c r="M18" s="104">
        <v>2420.3000000000002</v>
      </c>
      <c r="N18" s="109">
        <v>2429.6</v>
      </c>
      <c r="O18" s="1275">
        <v>2440.8000000000002</v>
      </c>
      <c r="P18" s="1288">
        <v>2451.5</v>
      </c>
      <c r="Q18" s="1301">
        <v>2461.4</v>
      </c>
      <c r="R18" s="1281">
        <v>2468.3000000000002</v>
      </c>
      <c r="S18" s="1288">
        <v>2477</v>
      </c>
      <c r="T18" s="1301">
        <v>2486</v>
      </c>
      <c r="U18" s="1281">
        <v>2500.8000000000002</v>
      </c>
      <c r="V18" s="1294">
        <v>2511.6</v>
      </c>
    </row>
    <row r="19" spans="1:24" ht="16.5" customHeight="1" x14ac:dyDescent="0.25">
      <c r="A19" s="126">
        <v>12</v>
      </c>
      <c r="B19" s="118" t="s">
        <v>1773</v>
      </c>
      <c r="C19" s="137">
        <v>1614.2</v>
      </c>
      <c r="D19" s="137">
        <v>1620.2</v>
      </c>
      <c r="E19" s="138">
        <v>1625.6</v>
      </c>
      <c r="F19" s="138">
        <v>1630.6</v>
      </c>
      <c r="G19" s="138">
        <v>1637.1</v>
      </c>
      <c r="H19" s="138">
        <v>1642.9</v>
      </c>
      <c r="I19" s="137">
        <v>1594</v>
      </c>
      <c r="J19" s="138">
        <v>1599</v>
      </c>
      <c r="K19" s="137">
        <v>1603.5</v>
      </c>
      <c r="L19" s="82">
        <v>1604.7</v>
      </c>
      <c r="M19" s="105">
        <v>1609.4</v>
      </c>
      <c r="N19" s="110">
        <v>1615</v>
      </c>
      <c r="O19" s="1276">
        <v>1622</v>
      </c>
      <c r="P19" s="1289">
        <v>1628.6</v>
      </c>
      <c r="Q19" s="1302">
        <v>1635</v>
      </c>
      <c r="R19" s="1282">
        <v>1640.6</v>
      </c>
      <c r="S19" s="1289">
        <v>1645.5</v>
      </c>
      <c r="T19" s="1302">
        <v>1650.9</v>
      </c>
      <c r="U19" s="1282">
        <v>1658.9</v>
      </c>
      <c r="V19" s="1295">
        <v>1663.5</v>
      </c>
    </row>
    <row r="20" spans="1:24" x14ac:dyDescent="0.25">
      <c r="A20" s="126">
        <v>13</v>
      </c>
      <c r="B20" s="118" t="s">
        <v>1774</v>
      </c>
      <c r="C20" s="137">
        <v>768.1</v>
      </c>
      <c r="D20" s="137">
        <v>774</v>
      </c>
      <c r="E20" s="138">
        <v>779.9</v>
      </c>
      <c r="F20" s="138">
        <v>777.9</v>
      </c>
      <c r="G20" s="138">
        <v>777</v>
      </c>
      <c r="H20" s="138">
        <v>777.1</v>
      </c>
      <c r="I20" s="137">
        <v>796.6</v>
      </c>
      <c r="J20" s="138">
        <v>801.1</v>
      </c>
      <c r="K20" s="137">
        <v>805.1</v>
      </c>
      <c r="L20" s="82">
        <v>807.9</v>
      </c>
      <c r="M20" s="105">
        <v>811</v>
      </c>
      <c r="N20" s="110">
        <v>814.6</v>
      </c>
      <c r="O20" s="1276">
        <v>818.7</v>
      </c>
      <c r="P20" s="1289">
        <v>822.9</v>
      </c>
      <c r="Q20" s="1302">
        <v>826.4</v>
      </c>
      <c r="R20" s="1282">
        <v>827.7</v>
      </c>
      <c r="S20" s="1289">
        <v>831.4</v>
      </c>
      <c r="T20" s="1302">
        <v>835.1</v>
      </c>
      <c r="U20" s="1282">
        <v>841.8</v>
      </c>
      <c r="V20" s="1295">
        <v>848.2</v>
      </c>
    </row>
    <row r="21" spans="1:24" ht="16.350000000000001" customHeight="1" x14ac:dyDescent="0.25">
      <c r="A21" s="126">
        <v>14</v>
      </c>
      <c r="B21" s="99" t="s">
        <v>1775</v>
      </c>
      <c r="C21" s="135">
        <v>1846.5</v>
      </c>
      <c r="D21" s="135">
        <v>1869.7</v>
      </c>
      <c r="E21" s="136">
        <v>1874.4</v>
      </c>
      <c r="F21" s="136">
        <v>1877.2</v>
      </c>
      <c r="G21" s="136">
        <v>1882.7</v>
      </c>
      <c r="H21" s="136">
        <v>1888.6</v>
      </c>
      <c r="I21" s="135">
        <v>1832.2</v>
      </c>
      <c r="J21" s="136">
        <v>1828.6</v>
      </c>
      <c r="K21" s="135">
        <v>1821.5</v>
      </c>
      <c r="L21" s="81">
        <v>1821.1</v>
      </c>
      <c r="M21" s="104">
        <v>1821.3</v>
      </c>
      <c r="N21" s="109">
        <v>1829.9</v>
      </c>
      <c r="O21" s="1275">
        <v>1839.7</v>
      </c>
      <c r="P21" s="1288">
        <v>1861.1</v>
      </c>
      <c r="Q21" s="1301">
        <v>1877.8</v>
      </c>
      <c r="R21" s="1281">
        <v>1880.2</v>
      </c>
      <c r="S21" s="1288">
        <v>1886.2</v>
      </c>
      <c r="T21" s="1301">
        <v>1881.5</v>
      </c>
      <c r="U21" s="1281">
        <v>1880.3</v>
      </c>
      <c r="V21" s="1294">
        <v>1891.7</v>
      </c>
    </row>
    <row r="22" spans="1:24" x14ac:dyDescent="0.25">
      <c r="A22" s="125">
        <v>15</v>
      </c>
      <c r="B22" s="58" t="s">
        <v>1776</v>
      </c>
      <c r="C22" s="137">
        <v>94.8</v>
      </c>
      <c r="D22" s="137">
        <v>95.9</v>
      </c>
      <c r="E22" s="138">
        <v>97.1</v>
      </c>
      <c r="F22" s="138">
        <v>99</v>
      </c>
      <c r="G22" s="138">
        <v>100.9</v>
      </c>
      <c r="H22" s="138">
        <v>102.8</v>
      </c>
      <c r="I22" s="137">
        <v>78.7</v>
      </c>
      <c r="J22" s="138">
        <v>71.2</v>
      </c>
      <c r="K22" s="137">
        <v>63.8</v>
      </c>
      <c r="L22" s="82">
        <v>61</v>
      </c>
      <c r="M22" s="105">
        <v>58.2</v>
      </c>
      <c r="N22" s="110">
        <v>55.5</v>
      </c>
      <c r="O22" s="1276">
        <v>52.7</v>
      </c>
      <c r="P22" s="1289">
        <v>49.9</v>
      </c>
      <c r="Q22" s="1302">
        <v>47.2</v>
      </c>
      <c r="R22" s="1282">
        <v>42.6</v>
      </c>
      <c r="S22" s="1289">
        <v>38</v>
      </c>
      <c r="T22" s="1302">
        <v>33.4</v>
      </c>
      <c r="U22" s="1282">
        <v>37.200000000000003</v>
      </c>
      <c r="V22" s="1295">
        <v>41</v>
      </c>
    </row>
    <row r="23" spans="1:24" x14ac:dyDescent="0.25">
      <c r="A23" s="125">
        <v>16</v>
      </c>
      <c r="B23" s="58" t="s">
        <v>1777</v>
      </c>
      <c r="C23" s="137">
        <v>1751.7</v>
      </c>
      <c r="D23" s="137">
        <v>1773.7</v>
      </c>
      <c r="E23" s="138">
        <v>1777.4</v>
      </c>
      <c r="F23" s="138">
        <v>1778.3</v>
      </c>
      <c r="G23" s="138">
        <v>1781.9</v>
      </c>
      <c r="H23" s="138">
        <v>1785.8</v>
      </c>
      <c r="I23" s="137">
        <v>1753.5</v>
      </c>
      <c r="J23" s="138">
        <v>1757.4</v>
      </c>
      <c r="K23" s="137">
        <v>1757.7</v>
      </c>
      <c r="L23" s="82">
        <v>1760.1</v>
      </c>
      <c r="M23" s="105">
        <v>1763.1</v>
      </c>
      <c r="N23" s="110">
        <v>1774.4</v>
      </c>
      <c r="O23" s="1276">
        <v>1787</v>
      </c>
      <c r="P23" s="1289">
        <v>1811.2</v>
      </c>
      <c r="Q23" s="1302">
        <v>1830.6</v>
      </c>
      <c r="R23" s="1282">
        <v>1837.6</v>
      </c>
      <c r="S23" s="1289">
        <v>1848.2</v>
      </c>
      <c r="T23" s="1302">
        <v>1848.1</v>
      </c>
      <c r="U23" s="1282">
        <v>1843.1</v>
      </c>
      <c r="V23" s="1295">
        <v>1850.8</v>
      </c>
    </row>
    <row r="24" spans="1:24" x14ac:dyDescent="0.25">
      <c r="A24" s="126">
        <v>17</v>
      </c>
      <c r="B24" s="99" t="s">
        <v>1778</v>
      </c>
      <c r="C24" s="135">
        <v>792.9</v>
      </c>
      <c r="D24" s="135">
        <v>794.9</v>
      </c>
      <c r="E24" s="136">
        <v>797</v>
      </c>
      <c r="F24" s="136">
        <v>804.7</v>
      </c>
      <c r="G24" s="136">
        <v>810.6</v>
      </c>
      <c r="H24" s="136">
        <v>820</v>
      </c>
      <c r="I24" s="135">
        <v>930.9</v>
      </c>
      <c r="J24" s="136">
        <v>945.7</v>
      </c>
      <c r="K24" s="135">
        <v>960.7</v>
      </c>
      <c r="L24" s="81">
        <v>960.6</v>
      </c>
      <c r="M24" s="104">
        <v>960.8</v>
      </c>
      <c r="N24" s="109">
        <v>961.8</v>
      </c>
      <c r="O24" s="1275">
        <v>967.2</v>
      </c>
      <c r="P24" s="1288">
        <v>974.5</v>
      </c>
      <c r="Q24" s="1301">
        <v>981.5</v>
      </c>
      <c r="R24" s="1281">
        <v>985.3</v>
      </c>
      <c r="S24" s="1288">
        <v>988.1</v>
      </c>
      <c r="T24" s="1301">
        <v>991</v>
      </c>
      <c r="U24" s="1281">
        <v>1004.8</v>
      </c>
      <c r="V24" s="1294">
        <v>1021</v>
      </c>
    </row>
    <row r="25" spans="1:24" x14ac:dyDescent="0.25">
      <c r="A25" s="125">
        <v>18</v>
      </c>
      <c r="B25" s="157" t="s">
        <v>1779</v>
      </c>
      <c r="C25" s="135">
        <v>3350.6</v>
      </c>
      <c r="D25" s="135">
        <v>3358.1</v>
      </c>
      <c r="E25" s="136">
        <v>3367.7</v>
      </c>
      <c r="F25" s="136">
        <v>3413.8</v>
      </c>
      <c r="G25" s="136">
        <v>3424.7</v>
      </c>
      <c r="H25" s="136">
        <v>3433.5</v>
      </c>
      <c r="I25" s="135">
        <v>3559.3</v>
      </c>
      <c r="J25" s="136">
        <v>3570.9</v>
      </c>
      <c r="K25" s="135">
        <v>3600.9</v>
      </c>
      <c r="L25" s="81">
        <v>3606.8</v>
      </c>
      <c r="M25" s="104">
        <v>3610.2</v>
      </c>
      <c r="N25" s="109">
        <v>3590.7</v>
      </c>
      <c r="O25" s="1275">
        <v>3594.4</v>
      </c>
      <c r="P25" s="1288">
        <v>3607.3</v>
      </c>
      <c r="Q25" s="1301">
        <v>3617.9</v>
      </c>
      <c r="R25" s="1281">
        <v>3645.6</v>
      </c>
      <c r="S25" s="1288">
        <v>3672.7</v>
      </c>
      <c r="T25" s="1301">
        <v>3683.6</v>
      </c>
      <c r="U25" s="1281">
        <v>3751.6</v>
      </c>
      <c r="V25" s="1294">
        <v>3673.9</v>
      </c>
    </row>
    <row r="26" spans="1:24" x14ac:dyDescent="0.25">
      <c r="A26" s="125">
        <v>19</v>
      </c>
      <c r="B26" s="58" t="s">
        <v>1780</v>
      </c>
      <c r="C26" s="137">
        <v>1731.1</v>
      </c>
      <c r="D26" s="137">
        <v>1738</v>
      </c>
      <c r="E26" s="138">
        <v>1745.2</v>
      </c>
      <c r="F26" s="138">
        <v>1766.6</v>
      </c>
      <c r="G26" s="138">
        <v>1788.7</v>
      </c>
      <c r="H26" s="138">
        <v>1811.6</v>
      </c>
      <c r="I26" s="137">
        <v>1736.2</v>
      </c>
      <c r="J26" s="138">
        <v>1744.3</v>
      </c>
      <c r="K26" s="137">
        <v>1752.6</v>
      </c>
      <c r="L26" s="82">
        <v>1753.6</v>
      </c>
      <c r="M26" s="105">
        <v>1754.7</v>
      </c>
      <c r="N26" s="110">
        <v>1756.1</v>
      </c>
      <c r="O26" s="1276">
        <v>1766.1</v>
      </c>
      <c r="P26" s="1289">
        <v>1776.3</v>
      </c>
      <c r="Q26" s="1302">
        <v>1786.7</v>
      </c>
      <c r="R26" s="1282">
        <v>1801</v>
      </c>
      <c r="S26" s="1289">
        <v>1815.5</v>
      </c>
      <c r="T26" s="1302">
        <v>1830.2</v>
      </c>
      <c r="U26" s="1282">
        <v>1822.9</v>
      </c>
      <c r="V26" s="1295">
        <v>1815.8</v>
      </c>
    </row>
    <row r="27" spans="1:24" x14ac:dyDescent="0.25">
      <c r="A27" s="125">
        <v>20</v>
      </c>
      <c r="B27" s="58" t="s">
        <v>1781</v>
      </c>
      <c r="C27" s="137">
        <v>1619.5</v>
      </c>
      <c r="D27" s="137">
        <v>1620.1</v>
      </c>
      <c r="E27" s="138">
        <v>1622.6</v>
      </c>
      <c r="F27" s="138">
        <v>1647.2</v>
      </c>
      <c r="G27" s="138">
        <v>1636</v>
      </c>
      <c r="H27" s="138">
        <v>1622</v>
      </c>
      <c r="I27" s="137">
        <v>1823.1</v>
      </c>
      <c r="J27" s="138">
        <v>1826.6</v>
      </c>
      <c r="K27" s="137">
        <v>1848.3</v>
      </c>
      <c r="L27" s="82">
        <v>1853.3</v>
      </c>
      <c r="M27" s="105">
        <v>1855.5</v>
      </c>
      <c r="N27" s="110">
        <v>1834.7</v>
      </c>
      <c r="O27" s="1276">
        <v>1828.3</v>
      </c>
      <c r="P27" s="1289">
        <v>1831</v>
      </c>
      <c r="Q27" s="1302">
        <v>1831.2</v>
      </c>
      <c r="R27" s="1282">
        <v>1844.6</v>
      </c>
      <c r="S27" s="1289">
        <v>1857.2</v>
      </c>
      <c r="T27" s="1302">
        <v>1853.4</v>
      </c>
      <c r="U27" s="1282">
        <v>1928.7</v>
      </c>
      <c r="V27" s="1295">
        <v>1858.1</v>
      </c>
    </row>
    <row r="28" spans="1:24" x14ac:dyDescent="0.25">
      <c r="A28" s="125">
        <v>21</v>
      </c>
      <c r="B28" s="157" t="s">
        <v>1782</v>
      </c>
      <c r="C28" s="135">
        <v>3891.7</v>
      </c>
      <c r="D28" s="135">
        <v>3893.9</v>
      </c>
      <c r="E28" s="136">
        <v>3892.9</v>
      </c>
      <c r="F28" s="136">
        <v>3981.6</v>
      </c>
      <c r="G28" s="136">
        <v>4002.2</v>
      </c>
      <c r="H28" s="136">
        <v>4010.8</v>
      </c>
      <c r="I28" s="135">
        <v>4083.3</v>
      </c>
      <c r="J28" s="136">
        <v>4108.8</v>
      </c>
      <c r="K28" s="135">
        <v>4115.1000000000004</v>
      </c>
      <c r="L28" s="81">
        <v>4112.3</v>
      </c>
      <c r="M28" s="104">
        <v>4126.8</v>
      </c>
      <c r="N28" s="109">
        <v>4121.3</v>
      </c>
      <c r="O28" s="1275">
        <v>4097.8999999999996</v>
      </c>
      <c r="P28" s="1288">
        <v>4096.5</v>
      </c>
      <c r="Q28" s="1301">
        <v>4086.6</v>
      </c>
      <c r="R28" s="1281">
        <v>4083.8</v>
      </c>
      <c r="S28" s="1288">
        <v>4082</v>
      </c>
      <c r="T28" s="1301">
        <v>4094.6</v>
      </c>
      <c r="U28" s="1281">
        <v>4209.8</v>
      </c>
      <c r="V28" s="1294">
        <v>4236.2</v>
      </c>
    </row>
    <row r="29" spans="1:24" x14ac:dyDescent="0.25">
      <c r="A29" s="125">
        <v>22</v>
      </c>
      <c r="B29" s="58" t="s">
        <v>1783</v>
      </c>
      <c r="C29" s="137">
        <v>3821.1</v>
      </c>
      <c r="D29" s="137">
        <v>3824.5</v>
      </c>
      <c r="E29" s="138">
        <v>3823.5</v>
      </c>
      <c r="F29" s="138">
        <v>3912.2</v>
      </c>
      <c r="G29" s="138">
        <v>3932.8</v>
      </c>
      <c r="H29" s="138">
        <v>3941.2</v>
      </c>
      <c r="I29" s="137">
        <v>3983.1</v>
      </c>
      <c r="J29" s="138">
        <v>4007.9</v>
      </c>
      <c r="K29" s="137">
        <v>4013.6</v>
      </c>
      <c r="L29" s="82">
        <v>4010.1</v>
      </c>
      <c r="M29" s="105">
        <v>4024</v>
      </c>
      <c r="N29" s="110">
        <v>4017.8</v>
      </c>
      <c r="O29" s="1276">
        <v>3993.8</v>
      </c>
      <c r="P29" s="1289">
        <v>3991.8</v>
      </c>
      <c r="Q29" s="1302">
        <v>3977.7</v>
      </c>
      <c r="R29" s="1282">
        <v>3977.9</v>
      </c>
      <c r="S29" s="1289">
        <v>3972.1</v>
      </c>
      <c r="T29" s="1302">
        <v>3987.7</v>
      </c>
      <c r="U29" s="1282">
        <v>4088.7</v>
      </c>
      <c r="V29" s="1295">
        <v>4127.8999999999996</v>
      </c>
      <c r="W29" s="145"/>
      <c r="X29" s="128"/>
    </row>
    <row r="30" spans="1:24" ht="16.5" customHeight="1" x14ac:dyDescent="0.25">
      <c r="A30" s="144">
        <v>23</v>
      </c>
      <c r="B30" s="146" t="s">
        <v>1784</v>
      </c>
      <c r="C30" s="147">
        <v>1211.0999999999999</v>
      </c>
      <c r="D30" s="147">
        <v>1215.9000000000001</v>
      </c>
      <c r="E30" s="148">
        <v>1216.9000000000001</v>
      </c>
      <c r="F30" s="138">
        <v>1229.0999999999999</v>
      </c>
      <c r="G30" s="138">
        <v>1224.3</v>
      </c>
      <c r="H30" s="138">
        <v>1223.5999999999999</v>
      </c>
      <c r="I30" s="137">
        <v>1335.4</v>
      </c>
      <c r="J30" s="138">
        <v>1340.1</v>
      </c>
      <c r="K30" s="137">
        <v>1344.5</v>
      </c>
      <c r="L30" s="82">
        <v>1349.9</v>
      </c>
      <c r="M30" s="105">
        <v>1354.7</v>
      </c>
      <c r="N30" s="110">
        <v>1356.7</v>
      </c>
      <c r="O30" s="1276">
        <v>1358.3</v>
      </c>
      <c r="P30" s="1289">
        <v>1362.1</v>
      </c>
      <c r="Q30" s="1302">
        <v>1363.4</v>
      </c>
      <c r="R30" s="1282">
        <v>1378.6</v>
      </c>
      <c r="S30" s="1289">
        <v>1370.3</v>
      </c>
      <c r="T30" s="1302">
        <v>1373.8</v>
      </c>
      <c r="U30" s="1282">
        <v>1422</v>
      </c>
      <c r="V30" s="1295">
        <v>1424.9</v>
      </c>
      <c r="W30" s="149">
        <f>'Social Benefits'!Y97</f>
        <v>1427.222904</v>
      </c>
    </row>
    <row r="31" spans="1:24" ht="16.350000000000001" customHeight="1" x14ac:dyDescent="0.25">
      <c r="A31" s="144">
        <v>24</v>
      </c>
      <c r="B31" s="146" t="s">
        <v>1785</v>
      </c>
      <c r="C31" s="147">
        <v>914.1</v>
      </c>
      <c r="D31" s="147">
        <v>920.1</v>
      </c>
      <c r="E31" s="148">
        <v>926.7</v>
      </c>
      <c r="F31" s="138">
        <v>933.8</v>
      </c>
      <c r="G31" s="138">
        <v>941.5</v>
      </c>
      <c r="H31" s="138">
        <v>949.7</v>
      </c>
      <c r="I31" s="137">
        <v>936.9</v>
      </c>
      <c r="J31" s="138">
        <v>938.1</v>
      </c>
      <c r="K31" s="137">
        <v>939.3</v>
      </c>
      <c r="L31" s="82">
        <v>940.6</v>
      </c>
      <c r="M31" s="105">
        <v>941.9</v>
      </c>
      <c r="N31" s="110">
        <v>943.3</v>
      </c>
      <c r="O31" s="1276">
        <v>944.8</v>
      </c>
      <c r="P31" s="1289">
        <v>946.3</v>
      </c>
      <c r="Q31" s="1302">
        <v>947.9</v>
      </c>
      <c r="R31" s="1282">
        <v>949.6</v>
      </c>
      <c r="S31" s="1289">
        <v>951.3</v>
      </c>
      <c r="T31" s="1302">
        <v>953.1</v>
      </c>
      <c r="U31" s="1282">
        <v>958.5</v>
      </c>
      <c r="V31" s="1295">
        <v>960.7</v>
      </c>
      <c r="W31" s="150">
        <f>Medicare!Y10</f>
        <v>960.04445976512864</v>
      </c>
    </row>
    <row r="32" spans="1:24" x14ac:dyDescent="0.25">
      <c r="A32" s="144">
        <v>25</v>
      </c>
      <c r="B32" s="146" t="s">
        <v>54</v>
      </c>
      <c r="C32" s="147">
        <v>790.3</v>
      </c>
      <c r="D32" s="147">
        <v>785.3</v>
      </c>
      <c r="E32" s="148">
        <v>782.8</v>
      </c>
      <c r="F32" s="138">
        <v>791.2</v>
      </c>
      <c r="G32" s="138">
        <v>796.9</v>
      </c>
      <c r="H32" s="138">
        <v>800.6</v>
      </c>
      <c r="I32" s="137">
        <v>856.7</v>
      </c>
      <c r="J32" s="138">
        <v>871.5</v>
      </c>
      <c r="K32" s="137">
        <v>886.1</v>
      </c>
      <c r="L32" s="82">
        <v>908.2</v>
      </c>
      <c r="M32" s="105">
        <v>916.2</v>
      </c>
      <c r="N32" s="110">
        <v>909.8</v>
      </c>
      <c r="O32" s="1276">
        <v>893.4</v>
      </c>
      <c r="P32" s="1289">
        <v>879.5</v>
      </c>
      <c r="Q32" s="1302">
        <v>868.8</v>
      </c>
      <c r="R32" s="1282">
        <v>863.5</v>
      </c>
      <c r="S32" s="1289">
        <v>865.8</v>
      </c>
      <c r="T32" s="1302">
        <v>875.6</v>
      </c>
      <c r="U32" s="1282">
        <v>894.6</v>
      </c>
      <c r="V32" s="1295">
        <v>906</v>
      </c>
      <c r="W32" s="150">
        <f>forecast!D11</f>
        <v>905.84639409421584</v>
      </c>
    </row>
    <row r="33" spans="1:24" x14ac:dyDescent="0.25">
      <c r="A33" s="144">
        <v>26</v>
      </c>
      <c r="B33" s="146" t="s">
        <v>263</v>
      </c>
      <c r="C33" s="147">
        <v>18.7</v>
      </c>
      <c r="D33" s="147">
        <v>18.899999999999999</v>
      </c>
      <c r="E33" s="148">
        <v>18</v>
      </c>
      <c r="F33" s="138">
        <v>18.899999999999999</v>
      </c>
      <c r="G33" s="138">
        <v>20.6</v>
      </c>
      <c r="H33" s="138">
        <v>21.6</v>
      </c>
      <c r="I33" s="137">
        <v>21.1</v>
      </c>
      <c r="J33" s="138">
        <v>22</v>
      </c>
      <c r="K33" s="137">
        <v>22.8</v>
      </c>
      <c r="L33" s="82">
        <v>22.8</v>
      </c>
      <c r="M33" s="105">
        <v>22.3</v>
      </c>
      <c r="N33" s="110">
        <v>21.6</v>
      </c>
      <c r="O33" s="1276">
        <v>21.1</v>
      </c>
      <c r="P33" s="1289">
        <v>21.1</v>
      </c>
      <c r="Q33" s="1302">
        <v>20.8</v>
      </c>
      <c r="R33" s="1282">
        <v>22.1</v>
      </c>
      <c r="S33" s="1289">
        <v>23.1</v>
      </c>
      <c r="T33" s="1302">
        <v>22.9</v>
      </c>
      <c r="U33" s="1282">
        <v>22.7</v>
      </c>
      <c r="V33" s="1295">
        <v>22.4</v>
      </c>
      <c r="W33" s="150">
        <f>forecast!D9+forecast!D8</f>
        <v>23.25714285714286</v>
      </c>
    </row>
    <row r="34" spans="1:24" ht="16.350000000000001" customHeight="1" x14ac:dyDescent="0.25">
      <c r="A34" s="125">
        <v>27</v>
      </c>
      <c r="B34" s="163" t="s">
        <v>1786</v>
      </c>
      <c r="C34" s="137">
        <v>161.1</v>
      </c>
      <c r="D34" s="137">
        <v>161.6</v>
      </c>
      <c r="E34" s="138">
        <v>162.5</v>
      </c>
      <c r="F34" s="138">
        <v>163.19999999999999</v>
      </c>
      <c r="G34" s="138">
        <v>164</v>
      </c>
      <c r="H34" s="138">
        <v>164.8</v>
      </c>
      <c r="I34" s="137">
        <v>173.1</v>
      </c>
      <c r="J34" s="138">
        <v>172.9</v>
      </c>
      <c r="K34" s="137">
        <v>172.7</v>
      </c>
      <c r="L34" s="82">
        <v>172.7</v>
      </c>
      <c r="M34" s="105">
        <v>172.4</v>
      </c>
      <c r="N34" s="110">
        <v>172.5</v>
      </c>
      <c r="O34" s="1276">
        <v>172.7</v>
      </c>
      <c r="P34" s="1289">
        <v>172.9</v>
      </c>
      <c r="Q34" s="1302">
        <v>173</v>
      </c>
      <c r="R34" s="1282">
        <v>173.3</v>
      </c>
      <c r="S34" s="1289">
        <v>173.6</v>
      </c>
      <c r="T34" s="1302">
        <v>173.9</v>
      </c>
      <c r="U34" s="1282">
        <v>174.3</v>
      </c>
      <c r="V34" s="1295">
        <v>174.7</v>
      </c>
    </row>
    <row r="35" spans="1:24" x14ac:dyDescent="0.25">
      <c r="A35" s="125">
        <v>28</v>
      </c>
      <c r="B35" s="163" t="s">
        <v>535</v>
      </c>
      <c r="C35" s="137">
        <v>725.8</v>
      </c>
      <c r="D35" s="137">
        <v>722.7</v>
      </c>
      <c r="E35" s="138">
        <v>716.6</v>
      </c>
      <c r="F35" s="138">
        <v>776</v>
      </c>
      <c r="G35" s="138">
        <v>785.4</v>
      </c>
      <c r="H35" s="138">
        <v>780.9</v>
      </c>
      <c r="I35" s="137">
        <v>659.8</v>
      </c>
      <c r="J35" s="138">
        <v>663.3</v>
      </c>
      <c r="K35" s="137">
        <v>648.20000000000005</v>
      </c>
      <c r="L35" s="82">
        <v>615.9</v>
      </c>
      <c r="M35" s="105">
        <v>616.4</v>
      </c>
      <c r="N35" s="110">
        <v>613.79999999999995</v>
      </c>
      <c r="O35" s="1276">
        <v>603.5</v>
      </c>
      <c r="P35" s="1289">
        <v>610</v>
      </c>
      <c r="Q35" s="1302">
        <v>603.79999999999995</v>
      </c>
      <c r="R35" s="1282">
        <v>590.79999999999995</v>
      </c>
      <c r="S35" s="1289">
        <v>588.1</v>
      </c>
      <c r="T35" s="1302">
        <v>588.29999999999995</v>
      </c>
      <c r="U35" s="1282">
        <v>616.5</v>
      </c>
      <c r="V35" s="1295">
        <v>639.29999999999995</v>
      </c>
    </row>
    <row r="36" spans="1:24" x14ac:dyDescent="0.25">
      <c r="A36" s="125">
        <v>29</v>
      </c>
      <c r="B36" s="160" t="s">
        <v>1787</v>
      </c>
      <c r="C36" s="137">
        <v>70.7</v>
      </c>
      <c r="D36" s="137">
        <v>69.400000000000006</v>
      </c>
      <c r="E36" s="138">
        <v>69.400000000000006</v>
      </c>
      <c r="F36" s="138">
        <v>69.400000000000006</v>
      </c>
      <c r="G36" s="138">
        <v>69.5</v>
      </c>
      <c r="H36" s="138">
        <v>69.599999999999994</v>
      </c>
      <c r="I36" s="137">
        <v>100.2</v>
      </c>
      <c r="J36" s="138">
        <v>100.9</v>
      </c>
      <c r="K36" s="137">
        <v>101.6</v>
      </c>
      <c r="L36" s="82">
        <v>102.2</v>
      </c>
      <c r="M36" s="105">
        <v>102.8</v>
      </c>
      <c r="N36" s="110">
        <v>103.5</v>
      </c>
      <c r="O36" s="1276">
        <v>104.1</v>
      </c>
      <c r="P36" s="1289">
        <v>104.7</v>
      </c>
      <c r="Q36" s="1302">
        <v>108.9</v>
      </c>
      <c r="R36" s="1282">
        <v>105.8</v>
      </c>
      <c r="S36" s="1289">
        <v>109.9</v>
      </c>
      <c r="T36" s="1302">
        <v>106.9</v>
      </c>
      <c r="U36" s="1282">
        <v>121.1</v>
      </c>
      <c r="V36" s="1295">
        <v>108.3</v>
      </c>
    </row>
    <row r="37" spans="1:24" x14ac:dyDescent="0.25">
      <c r="A37" s="144">
        <v>30</v>
      </c>
      <c r="B37" s="151" t="s">
        <v>1788</v>
      </c>
      <c r="C37" s="152">
        <v>1683.6</v>
      </c>
      <c r="D37" s="152">
        <v>1695.6</v>
      </c>
      <c r="E37" s="153">
        <v>1707.7</v>
      </c>
      <c r="F37" s="136">
        <v>1704.3</v>
      </c>
      <c r="G37" s="136">
        <v>1703.1</v>
      </c>
      <c r="H37" s="136">
        <v>1703.8</v>
      </c>
      <c r="I37" s="135">
        <v>1765.5</v>
      </c>
      <c r="J37" s="136">
        <v>1774.3</v>
      </c>
      <c r="K37" s="135">
        <v>1782</v>
      </c>
      <c r="L37" s="81">
        <v>1787.4</v>
      </c>
      <c r="M37" s="104">
        <v>1793.6</v>
      </c>
      <c r="N37" s="109">
        <v>1800.9</v>
      </c>
      <c r="O37" s="1275">
        <v>1809.2</v>
      </c>
      <c r="P37" s="1288">
        <v>1817.6</v>
      </c>
      <c r="Q37" s="1301">
        <v>1824.6</v>
      </c>
      <c r="R37" s="1281">
        <v>1827.5</v>
      </c>
      <c r="S37" s="1288">
        <v>1835.1</v>
      </c>
      <c r="T37" s="1301">
        <v>1842.7</v>
      </c>
      <c r="U37" s="1281">
        <v>1863.6</v>
      </c>
      <c r="V37" s="1294">
        <v>1876.4</v>
      </c>
      <c r="W37" s="149">
        <f>Taxes!Y12+Taxes!Y23</f>
        <v>1876.153667542316</v>
      </c>
    </row>
    <row r="38" spans="1:24" x14ac:dyDescent="0.25">
      <c r="A38" s="144">
        <v>31</v>
      </c>
      <c r="B38" s="154" t="s">
        <v>242</v>
      </c>
      <c r="C38" s="152">
        <v>3224.2</v>
      </c>
      <c r="D38" s="152">
        <v>3236.7</v>
      </c>
      <c r="E38" s="153">
        <v>3248.6</v>
      </c>
      <c r="F38" s="136">
        <v>3232.7</v>
      </c>
      <c r="G38" s="136">
        <v>3213.6</v>
      </c>
      <c r="H38" s="136">
        <v>3202.1</v>
      </c>
      <c r="I38" s="135">
        <v>2767.2</v>
      </c>
      <c r="J38" s="136">
        <v>2763.4</v>
      </c>
      <c r="K38" s="135">
        <v>2760.4</v>
      </c>
      <c r="L38" s="81">
        <v>2707.4</v>
      </c>
      <c r="M38" s="104">
        <v>2691.2</v>
      </c>
      <c r="N38" s="109">
        <v>2712.9</v>
      </c>
      <c r="O38" s="1275">
        <v>2744.1</v>
      </c>
      <c r="P38" s="1288">
        <v>2768.2</v>
      </c>
      <c r="Q38" s="1301">
        <v>2783.7</v>
      </c>
      <c r="R38" s="1281">
        <v>2793.2</v>
      </c>
      <c r="S38" s="1288">
        <v>2806.2</v>
      </c>
      <c r="T38" s="1301">
        <v>2815.9</v>
      </c>
      <c r="U38" s="1281">
        <v>2968.9</v>
      </c>
      <c r="V38" s="1294">
        <v>2985.1</v>
      </c>
      <c r="W38" s="149">
        <f>Taxes!Y10+Taxes!Y21</f>
        <v>2985.7310574161766</v>
      </c>
    </row>
    <row r="39" spans="1:24" x14ac:dyDescent="0.25">
      <c r="A39" s="125">
        <v>32</v>
      </c>
      <c r="B39" s="60" t="s">
        <v>1789</v>
      </c>
      <c r="C39" s="135">
        <v>18628.099999999999</v>
      </c>
      <c r="D39" s="135">
        <v>18739.099999999999</v>
      </c>
      <c r="E39" s="136">
        <v>18831.7</v>
      </c>
      <c r="F39" s="136">
        <v>18969.2</v>
      </c>
      <c r="G39" s="136">
        <v>19026.5</v>
      </c>
      <c r="H39" s="136">
        <v>19079.7</v>
      </c>
      <c r="I39" s="135">
        <v>19758.099999999999</v>
      </c>
      <c r="J39" s="136">
        <v>19885</v>
      </c>
      <c r="K39" s="135">
        <v>19997.5</v>
      </c>
      <c r="L39" s="81">
        <v>20098.7</v>
      </c>
      <c r="M39" s="104">
        <v>20185.400000000001</v>
      </c>
      <c r="N39" s="109">
        <v>20208.400000000001</v>
      </c>
      <c r="O39" s="1275">
        <v>20242.2</v>
      </c>
      <c r="P39" s="1288">
        <v>20326.400000000001</v>
      </c>
      <c r="Q39" s="1301">
        <v>20392.5</v>
      </c>
      <c r="R39" s="1281">
        <v>20437.7</v>
      </c>
      <c r="S39" s="1288">
        <v>20513.5</v>
      </c>
      <c r="T39" s="1301">
        <v>20581.099999999999</v>
      </c>
      <c r="U39" s="1281">
        <v>20658.900000000001</v>
      </c>
      <c r="V39" s="1294">
        <v>20709.3</v>
      </c>
    </row>
    <row r="40" spans="1:24" x14ac:dyDescent="0.25">
      <c r="A40" s="125">
        <v>33</v>
      </c>
      <c r="B40" s="60" t="s">
        <v>243</v>
      </c>
      <c r="C40" s="135">
        <v>17983.400000000001</v>
      </c>
      <c r="D40" s="135">
        <v>18132.7</v>
      </c>
      <c r="E40" s="136">
        <v>18257.400000000001</v>
      </c>
      <c r="F40" s="136">
        <v>18391.8</v>
      </c>
      <c r="G40" s="136">
        <v>18362.3</v>
      </c>
      <c r="H40" s="136">
        <v>18377.400000000001</v>
      </c>
      <c r="I40" s="135">
        <v>18887</v>
      </c>
      <c r="J40" s="136">
        <v>18959</v>
      </c>
      <c r="K40" s="135">
        <v>18950</v>
      </c>
      <c r="L40" s="81">
        <v>19056.2</v>
      </c>
      <c r="M40" s="104">
        <v>19125.400000000001</v>
      </c>
      <c r="N40" s="109">
        <v>19228.3</v>
      </c>
      <c r="O40" s="1275">
        <v>19351.5</v>
      </c>
      <c r="P40" s="1288">
        <v>19417</v>
      </c>
      <c r="Q40" s="1301">
        <v>19600.900000000001</v>
      </c>
      <c r="R40" s="1281">
        <v>19622.8</v>
      </c>
      <c r="S40" s="1288">
        <v>19683.8</v>
      </c>
      <c r="T40" s="1301">
        <v>19779.3</v>
      </c>
      <c r="U40" s="1281">
        <v>19813.7</v>
      </c>
      <c r="V40" s="1294">
        <v>19963.5</v>
      </c>
    </row>
    <row r="41" spans="1:24" x14ac:dyDescent="0.25">
      <c r="A41" s="125">
        <v>34</v>
      </c>
      <c r="B41" s="94" t="s">
        <v>1721</v>
      </c>
      <c r="C41" s="137">
        <v>17420.3</v>
      </c>
      <c r="D41" s="137">
        <v>17550.900000000001</v>
      </c>
      <c r="E41" s="138">
        <v>17656.8</v>
      </c>
      <c r="F41" s="138">
        <v>17778.2</v>
      </c>
      <c r="G41" s="138">
        <v>17735</v>
      </c>
      <c r="H41" s="138">
        <v>17736.5</v>
      </c>
      <c r="I41" s="137">
        <v>18229.599999999999</v>
      </c>
      <c r="J41" s="138">
        <v>18296.5</v>
      </c>
      <c r="K41" s="137">
        <v>18282.599999999999</v>
      </c>
      <c r="L41" s="82">
        <v>18363.8</v>
      </c>
      <c r="M41" s="105">
        <v>18407.8</v>
      </c>
      <c r="N41" s="110">
        <v>18485.400000000001</v>
      </c>
      <c r="O41" s="1276">
        <v>18595.400000000001</v>
      </c>
      <c r="P41" s="1289">
        <v>18651.599999999999</v>
      </c>
      <c r="Q41" s="1302">
        <v>18791.5</v>
      </c>
      <c r="R41" s="1282">
        <v>18826.8</v>
      </c>
      <c r="S41" s="1289">
        <v>18903</v>
      </c>
      <c r="T41" s="1302">
        <v>19013.7</v>
      </c>
      <c r="U41" s="1282">
        <v>19043.599999999999</v>
      </c>
      <c r="V41" s="1295">
        <v>19189</v>
      </c>
    </row>
    <row r="42" spans="1:24" ht="16.350000000000001" customHeight="1" x14ac:dyDescent="0.25">
      <c r="A42" s="125">
        <v>35</v>
      </c>
      <c r="B42" s="58" t="s">
        <v>1744</v>
      </c>
      <c r="C42" s="137">
        <v>5988.2</v>
      </c>
      <c r="D42" s="137">
        <v>5981.9</v>
      </c>
      <c r="E42" s="138">
        <v>5995.6</v>
      </c>
      <c r="F42" s="138">
        <v>6064.4</v>
      </c>
      <c r="G42" s="138">
        <v>5974.1</v>
      </c>
      <c r="H42" s="138">
        <v>5901.5</v>
      </c>
      <c r="I42" s="137">
        <v>6148.2</v>
      </c>
      <c r="J42" s="138">
        <v>6164.2</v>
      </c>
      <c r="K42" s="137">
        <v>6089.2</v>
      </c>
      <c r="L42" s="82">
        <v>6139.1</v>
      </c>
      <c r="M42" s="105">
        <v>6144.7</v>
      </c>
      <c r="N42" s="110">
        <v>6150.1</v>
      </c>
      <c r="O42" s="1276">
        <v>6188.2</v>
      </c>
      <c r="P42" s="1289">
        <v>6228.7</v>
      </c>
      <c r="Q42" s="1302">
        <v>6278.4</v>
      </c>
      <c r="R42" s="1282">
        <v>6250.7</v>
      </c>
      <c r="S42" s="1289">
        <v>6242.4</v>
      </c>
      <c r="T42" s="1302">
        <v>6273.8</v>
      </c>
      <c r="U42" s="1282">
        <v>6182.3</v>
      </c>
      <c r="V42" s="1295">
        <v>6216</v>
      </c>
      <c r="W42" s="145"/>
    </row>
    <row r="43" spans="1:24" ht="16.350000000000001" customHeight="1" x14ac:dyDescent="0.25">
      <c r="A43" s="125">
        <v>36</v>
      </c>
      <c r="B43" s="163" t="s">
        <v>1790</v>
      </c>
      <c r="C43" s="137">
        <v>2189.5</v>
      </c>
      <c r="D43" s="137">
        <v>2197.8000000000002</v>
      </c>
      <c r="E43" s="138">
        <v>2200.1999999999998</v>
      </c>
      <c r="F43" s="138">
        <v>2238.9</v>
      </c>
      <c r="G43" s="138">
        <v>2167.3000000000002</v>
      </c>
      <c r="H43" s="138">
        <v>2134.9</v>
      </c>
      <c r="I43" s="137">
        <v>2213.6999999999998</v>
      </c>
      <c r="J43" s="138">
        <v>2203.6</v>
      </c>
      <c r="K43" s="137">
        <v>2167.3000000000002</v>
      </c>
      <c r="L43" s="82">
        <v>2183.6999999999998</v>
      </c>
      <c r="M43" s="105">
        <v>2202.8000000000002</v>
      </c>
      <c r="N43" s="110">
        <v>2194.1999999999998</v>
      </c>
      <c r="O43" s="1276">
        <v>2206.9</v>
      </c>
      <c r="P43" s="1289">
        <v>2193.1</v>
      </c>
      <c r="Q43" s="1302">
        <v>2213.4</v>
      </c>
      <c r="R43" s="1282">
        <v>2191.1</v>
      </c>
      <c r="S43" s="1289">
        <v>2195.6999999999998</v>
      </c>
      <c r="T43" s="1302">
        <v>2219.8000000000002</v>
      </c>
      <c r="U43" s="1282">
        <v>2164</v>
      </c>
      <c r="V43" s="1295">
        <v>2193.6999999999998</v>
      </c>
      <c r="W43" s="145"/>
    </row>
    <row r="44" spans="1:24" ht="16.350000000000001" customHeight="1" x14ac:dyDescent="0.25">
      <c r="A44" s="125">
        <v>37</v>
      </c>
      <c r="B44" s="163" t="s">
        <v>1791</v>
      </c>
      <c r="C44" s="137">
        <v>3798.7</v>
      </c>
      <c r="D44" s="137">
        <v>3784.1</v>
      </c>
      <c r="E44" s="138">
        <v>3795.4</v>
      </c>
      <c r="F44" s="138">
        <v>3825.6</v>
      </c>
      <c r="G44" s="138">
        <v>3806.8</v>
      </c>
      <c r="H44" s="138">
        <v>3766.5</v>
      </c>
      <c r="I44" s="137">
        <v>3934.5</v>
      </c>
      <c r="J44" s="138">
        <v>3960.6</v>
      </c>
      <c r="K44" s="137">
        <v>3921.9</v>
      </c>
      <c r="L44" s="82">
        <v>3955.4</v>
      </c>
      <c r="M44" s="105">
        <v>3941.9</v>
      </c>
      <c r="N44" s="110">
        <v>3955.9</v>
      </c>
      <c r="O44" s="1276">
        <v>3981.3</v>
      </c>
      <c r="P44" s="1289">
        <v>4035.5</v>
      </c>
      <c r="Q44" s="1302">
        <v>4065</v>
      </c>
      <c r="R44" s="1282">
        <v>4059.7</v>
      </c>
      <c r="S44" s="1289">
        <v>4046.7</v>
      </c>
      <c r="T44" s="1302">
        <v>4054</v>
      </c>
      <c r="U44" s="1282">
        <v>4018.2</v>
      </c>
      <c r="V44" s="1295">
        <v>4022.2</v>
      </c>
      <c r="W44" s="145"/>
      <c r="X44" s="128"/>
    </row>
    <row r="45" spans="1:24" ht="16.350000000000001" customHeight="1" x14ac:dyDescent="0.25">
      <c r="A45" s="125">
        <v>38</v>
      </c>
      <c r="B45" s="58" t="s">
        <v>1745</v>
      </c>
      <c r="C45" s="137">
        <v>11432.1</v>
      </c>
      <c r="D45" s="137">
        <v>11568.9</v>
      </c>
      <c r="E45" s="138">
        <v>11661.2</v>
      </c>
      <c r="F45" s="138">
        <v>11713.7</v>
      </c>
      <c r="G45" s="138">
        <v>11760.9</v>
      </c>
      <c r="H45" s="138">
        <v>11835</v>
      </c>
      <c r="I45" s="137">
        <v>12081.4</v>
      </c>
      <c r="J45" s="138">
        <v>12132.4</v>
      </c>
      <c r="K45" s="137">
        <v>12193.4</v>
      </c>
      <c r="L45" s="82">
        <v>12224.7</v>
      </c>
      <c r="M45" s="105">
        <v>12263</v>
      </c>
      <c r="N45" s="110">
        <v>12335.3</v>
      </c>
      <c r="O45" s="1276">
        <v>12407.2</v>
      </c>
      <c r="P45" s="1289">
        <v>12422.9</v>
      </c>
      <c r="Q45" s="1302">
        <v>12513</v>
      </c>
      <c r="R45" s="1282">
        <v>12576.1</v>
      </c>
      <c r="S45" s="1289">
        <v>12660.5</v>
      </c>
      <c r="T45" s="1302">
        <v>12739.9</v>
      </c>
      <c r="U45" s="1282">
        <v>12861.3</v>
      </c>
      <c r="V45" s="1295">
        <v>12973.1</v>
      </c>
      <c r="W45" s="145"/>
      <c r="X45" s="128"/>
    </row>
    <row r="46" spans="1:24" ht="16.350000000000001" customHeight="1" x14ac:dyDescent="0.25">
      <c r="A46" s="125">
        <v>39</v>
      </c>
      <c r="B46" s="94" t="s">
        <v>1792</v>
      </c>
      <c r="C46" s="137">
        <v>338.7</v>
      </c>
      <c r="D46" s="137">
        <v>357.1</v>
      </c>
      <c r="E46" s="138">
        <v>375.6</v>
      </c>
      <c r="F46" s="138">
        <v>389.1</v>
      </c>
      <c r="G46" s="138">
        <v>402.6</v>
      </c>
      <c r="H46" s="138">
        <v>416.1</v>
      </c>
      <c r="I46" s="137">
        <v>415</v>
      </c>
      <c r="J46" s="138">
        <v>419.8</v>
      </c>
      <c r="K46" s="137">
        <v>424.7</v>
      </c>
      <c r="L46" s="82">
        <v>449.7</v>
      </c>
      <c r="M46" s="105">
        <v>474.7</v>
      </c>
      <c r="N46" s="110">
        <v>499.8</v>
      </c>
      <c r="O46" s="1276">
        <v>510</v>
      </c>
      <c r="P46" s="1289">
        <v>519</v>
      </c>
      <c r="Q46" s="1302">
        <v>562.79999999999995</v>
      </c>
      <c r="R46" s="1282">
        <v>547.29999999999995</v>
      </c>
      <c r="S46" s="1289">
        <v>531.70000000000005</v>
      </c>
      <c r="T46" s="1302">
        <v>516.1</v>
      </c>
      <c r="U46" s="1282">
        <v>520.20000000000005</v>
      </c>
      <c r="V46" s="1295">
        <v>524.20000000000005</v>
      </c>
      <c r="W46" s="145"/>
      <c r="X46" s="128"/>
    </row>
    <row r="47" spans="1:24" x14ac:dyDescent="0.25">
      <c r="A47" s="125">
        <v>40</v>
      </c>
      <c r="B47" s="94" t="s">
        <v>1793</v>
      </c>
      <c r="C47" s="137">
        <v>224.4</v>
      </c>
      <c r="D47" s="137">
        <v>224.7</v>
      </c>
      <c r="E47" s="138">
        <v>225</v>
      </c>
      <c r="F47" s="138">
        <v>224.5</v>
      </c>
      <c r="G47" s="138">
        <v>224.7</v>
      </c>
      <c r="H47" s="138">
        <v>224.8</v>
      </c>
      <c r="I47" s="137">
        <v>242.4</v>
      </c>
      <c r="J47" s="138">
        <v>242.6</v>
      </c>
      <c r="K47" s="137">
        <v>242.8</v>
      </c>
      <c r="L47" s="82">
        <v>242.6</v>
      </c>
      <c r="M47" s="105">
        <v>242.9</v>
      </c>
      <c r="N47" s="110">
        <v>243.1</v>
      </c>
      <c r="O47" s="1276">
        <v>246.1</v>
      </c>
      <c r="P47" s="1289">
        <v>246.4</v>
      </c>
      <c r="Q47" s="1302">
        <v>246.7</v>
      </c>
      <c r="R47" s="1282">
        <v>248.8</v>
      </c>
      <c r="S47" s="1289">
        <v>249.1</v>
      </c>
      <c r="T47" s="1302">
        <v>249.5</v>
      </c>
      <c r="U47" s="1282">
        <v>249.9</v>
      </c>
      <c r="V47" s="1295">
        <v>250.3</v>
      </c>
      <c r="W47" s="145"/>
      <c r="X47" s="128"/>
    </row>
    <row r="48" spans="1:24" x14ac:dyDescent="0.25">
      <c r="A48" s="125">
        <v>41</v>
      </c>
      <c r="B48" s="58" t="s">
        <v>1794</v>
      </c>
      <c r="C48" s="137">
        <v>116.1</v>
      </c>
      <c r="D48" s="137">
        <v>116.4</v>
      </c>
      <c r="E48" s="138">
        <v>116.7</v>
      </c>
      <c r="F48" s="138">
        <v>116.9</v>
      </c>
      <c r="G48" s="138">
        <v>117.1</v>
      </c>
      <c r="H48" s="138">
        <v>117.2</v>
      </c>
      <c r="I48" s="137">
        <v>129.5</v>
      </c>
      <c r="J48" s="138">
        <v>129.69999999999999</v>
      </c>
      <c r="K48" s="137">
        <v>129.9</v>
      </c>
      <c r="L48" s="82">
        <v>130.1</v>
      </c>
      <c r="M48" s="105">
        <v>130.4</v>
      </c>
      <c r="N48" s="110">
        <v>130.6</v>
      </c>
      <c r="O48" s="1276">
        <v>130.9</v>
      </c>
      <c r="P48" s="1289">
        <v>131.19999999999999</v>
      </c>
      <c r="Q48" s="1302">
        <v>131.5</v>
      </c>
      <c r="R48" s="1282">
        <v>131.80000000000001</v>
      </c>
      <c r="S48" s="1289">
        <v>132.1</v>
      </c>
      <c r="T48" s="1302">
        <v>132.5</v>
      </c>
      <c r="U48" s="1282">
        <v>132.9</v>
      </c>
      <c r="V48" s="1295">
        <v>133.30000000000001</v>
      </c>
      <c r="W48" s="145"/>
      <c r="X48" s="128"/>
    </row>
    <row r="49" spans="1:24" x14ac:dyDescent="0.25">
      <c r="A49" s="125">
        <v>42</v>
      </c>
      <c r="B49" s="58" t="s">
        <v>1795</v>
      </c>
      <c r="C49" s="137">
        <v>108.3</v>
      </c>
      <c r="D49" s="137">
        <v>108.3</v>
      </c>
      <c r="E49" s="138">
        <v>108.3</v>
      </c>
      <c r="F49" s="138">
        <v>107.6</v>
      </c>
      <c r="G49" s="138">
        <v>107.6</v>
      </c>
      <c r="H49" s="138">
        <v>107.6</v>
      </c>
      <c r="I49" s="137">
        <v>112.9</v>
      </c>
      <c r="J49" s="138">
        <v>112.9</v>
      </c>
      <c r="K49" s="137">
        <v>112.9</v>
      </c>
      <c r="L49" s="82">
        <v>112.5</v>
      </c>
      <c r="M49" s="105">
        <v>112.5</v>
      </c>
      <c r="N49" s="110">
        <v>112.5</v>
      </c>
      <c r="O49" s="1276">
        <v>115.2</v>
      </c>
      <c r="P49" s="1289">
        <v>115.2</v>
      </c>
      <c r="Q49" s="1302">
        <v>115.2</v>
      </c>
      <c r="R49" s="1282">
        <v>117</v>
      </c>
      <c r="S49" s="1289">
        <v>117</v>
      </c>
      <c r="T49" s="1302">
        <v>117</v>
      </c>
      <c r="U49" s="1282">
        <v>117</v>
      </c>
      <c r="V49" s="1295">
        <v>117</v>
      </c>
      <c r="W49" s="145"/>
      <c r="X49" s="128"/>
    </row>
    <row r="50" spans="1:24" x14ac:dyDescent="0.25">
      <c r="A50" s="125">
        <v>43</v>
      </c>
      <c r="B50" s="60" t="s">
        <v>244</v>
      </c>
      <c r="C50" s="135">
        <v>644.70000000000005</v>
      </c>
      <c r="D50" s="135">
        <v>606.4</v>
      </c>
      <c r="E50" s="136">
        <v>574.4</v>
      </c>
      <c r="F50" s="136">
        <v>577.4</v>
      </c>
      <c r="G50" s="136">
        <v>664.1</v>
      </c>
      <c r="H50" s="136">
        <v>702.3</v>
      </c>
      <c r="I50" s="135">
        <v>871.1</v>
      </c>
      <c r="J50" s="136">
        <v>926</v>
      </c>
      <c r="K50" s="135">
        <v>1047.5</v>
      </c>
      <c r="L50" s="81">
        <v>1042.5</v>
      </c>
      <c r="M50" s="104">
        <v>1060</v>
      </c>
      <c r="N50" s="109">
        <v>980.1</v>
      </c>
      <c r="O50" s="1275">
        <v>890.7</v>
      </c>
      <c r="P50" s="1288">
        <v>909.4</v>
      </c>
      <c r="Q50" s="1301">
        <v>791.6</v>
      </c>
      <c r="R50" s="1281">
        <v>814.9</v>
      </c>
      <c r="S50" s="1288">
        <v>829.7</v>
      </c>
      <c r="T50" s="1301">
        <v>801.9</v>
      </c>
      <c r="U50" s="1281">
        <v>845.3</v>
      </c>
      <c r="V50" s="1294">
        <v>745.7</v>
      </c>
      <c r="W50" s="75"/>
    </row>
    <row r="51" spans="1:24" x14ac:dyDescent="0.25">
      <c r="A51" s="126">
        <v>44</v>
      </c>
      <c r="B51" s="99" t="s">
        <v>1796</v>
      </c>
      <c r="C51" s="135">
        <v>3.5</v>
      </c>
      <c r="D51" s="135">
        <v>3.2</v>
      </c>
      <c r="E51" s="136">
        <v>3</v>
      </c>
      <c r="F51" s="136">
        <v>3</v>
      </c>
      <c r="G51" s="136">
        <v>3.5</v>
      </c>
      <c r="H51" s="136">
        <v>3.7</v>
      </c>
      <c r="I51" s="135">
        <v>4.4000000000000004</v>
      </c>
      <c r="J51" s="136">
        <v>4.7</v>
      </c>
      <c r="K51" s="135">
        <v>5.2</v>
      </c>
      <c r="L51" s="81">
        <v>5.2</v>
      </c>
      <c r="M51" s="104">
        <v>5.3</v>
      </c>
      <c r="N51" s="109">
        <v>4.8</v>
      </c>
      <c r="O51" s="1275">
        <v>4.4000000000000004</v>
      </c>
      <c r="P51" s="1288">
        <v>4.5</v>
      </c>
      <c r="Q51" s="1301">
        <v>3.9</v>
      </c>
      <c r="R51" s="1281">
        <v>4</v>
      </c>
      <c r="S51" s="1288">
        <v>4</v>
      </c>
      <c r="T51" s="1301">
        <v>3.9</v>
      </c>
      <c r="U51" s="1281">
        <v>4.0999999999999996</v>
      </c>
      <c r="V51" s="1294">
        <v>3.6</v>
      </c>
      <c r="W51" s="75"/>
    </row>
    <row r="52" spans="1:24" x14ac:dyDescent="0.25">
      <c r="A52" s="125"/>
      <c r="B52" s="60" t="s">
        <v>1746</v>
      </c>
      <c r="C52" s="135"/>
      <c r="D52" s="135"/>
      <c r="E52" s="136"/>
      <c r="F52" s="136"/>
      <c r="G52" s="136"/>
      <c r="H52" s="136"/>
      <c r="I52" s="135"/>
      <c r="J52" s="136"/>
      <c r="K52" s="135"/>
      <c r="L52" s="81"/>
      <c r="M52" s="104"/>
      <c r="N52" s="109"/>
      <c r="O52" s="1275"/>
      <c r="P52" s="1288"/>
      <c r="Q52" s="1301"/>
      <c r="R52" s="1281"/>
      <c r="S52" s="1288"/>
      <c r="T52" s="1301"/>
      <c r="U52" s="1281"/>
      <c r="V52" s="1294"/>
    </row>
    <row r="53" spans="1:24" ht="30.95" customHeight="1" x14ac:dyDescent="0.25">
      <c r="A53" s="126">
        <v>45</v>
      </c>
      <c r="B53" s="99" t="s">
        <v>1797</v>
      </c>
      <c r="C53" s="135">
        <v>14559.1</v>
      </c>
      <c r="D53" s="135">
        <v>14618.2</v>
      </c>
      <c r="E53" s="136">
        <v>14653.2</v>
      </c>
      <c r="F53" s="136">
        <v>14618.1</v>
      </c>
      <c r="G53" s="136">
        <v>14607</v>
      </c>
      <c r="H53" s="136">
        <v>14604.2</v>
      </c>
      <c r="I53" s="135">
        <v>15496.1</v>
      </c>
      <c r="J53" s="136">
        <v>15529.2</v>
      </c>
      <c r="K53" s="135">
        <v>15596.8</v>
      </c>
      <c r="L53" s="81">
        <v>15592.2</v>
      </c>
      <c r="M53" s="104">
        <v>15622.4</v>
      </c>
      <c r="N53" s="109">
        <v>15638</v>
      </c>
      <c r="O53" s="1275">
        <v>15691.7</v>
      </c>
      <c r="P53" s="1288">
        <v>15726.6</v>
      </c>
      <c r="Q53" s="1301">
        <v>15741.9</v>
      </c>
      <c r="R53" s="1281">
        <v>15784</v>
      </c>
      <c r="S53" s="1288">
        <v>15860.3</v>
      </c>
      <c r="T53" s="1301">
        <v>15893.6</v>
      </c>
      <c r="U53" s="1281">
        <v>15928.8</v>
      </c>
      <c r="V53" s="1294">
        <v>15908.7</v>
      </c>
    </row>
    <row r="54" spans="1:24" x14ac:dyDescent="0.25">
      <c r="A54" s="125"/>
      <c r="B54" s="157" t="s">
        <v>1798</v>
      </c>
      <c r="C54" s="135"/>
      <c r="D54" s="135"/>
      <c r="E54" s="136"/>
      <c r="F54" s="136"/>
      <c r="G54" s="136"/>
      <c r="H54" s="136"/>
      <c r="I54" s="135"/>
      <c r="J54" s="136"/>
      <c r="K54" s="135"/>
      <c r="L54" s="81"/>
      <c r="M54" s="104"/>
      <c r="N54" s="109"/>
      <c r="O54" s="1275"/>
      <c r="P54" s="1288"/>
      <c r="Q54" s="1301"/>
      <c r="R54" s="1281"/>
      <c r="S54" s="1288"/>
      <c r="T54" s="1301"/>
      <c r="U54" s="1281"/>
      <c r="V54" s="1294"/>
    </row>
    <row r="55" spans="1:24" ht="16.350000000000001" customHeight="1" x14ac:dyDescent="0.25">
      <c r="A55" s="125">
        <v>46</v>
      </c>
      <c r="B55" s="160" t="s">
        <v>1799</v>
      </c>
      <c r="C55" s="137">
        <v>15100.2</v>
      </c>
      <c r="D55" s="137">
        <v>15149.6</v>
      </c>
      <c r="E55" s="138">
        <v>15172.2</v>
      </c>
      <c r="F55" s="138">
        <v>15218.9</v>
      </c>
      <c r="G55" s="138">
        <v>15238.7</v>
      </c>
      <c r="H55" s="138">
        <v>15250.6</v>
      </c>
      <c r="I55" s="137">
        <v>16601.900000000001</v>
      </c>
      <c r="J55" s="138">
        <v>16656.099999999999</v>
      </c>
      <c r="K55" s="137">
        <v>16730.2</v>
      </c>
      <c r="L55" s="82">
        <v>16763.900000000001</v>
      </c>
      <c r="M55" s="105">
        <v>16818.5</v>
      </c>
      <c r="N55" s="110">
        <v>16809.5</v>
      </c>
      <c r="O55" s="1276">
        <v>16816.400000000001</v>
      </c>
      <c r="P55" s="1289">
        <v>16826.2</v>
      </c>
      <c r="Q55" s="1302">
        <v>16816.3</v>
      </c>
      <c r="R55" s="1282">
        <v>16847.8</v>
      </c>
      <c r="S55" s="1289">
        <v>16912.099999999999</v>
      </c>
      <c r="T55" s="1302">
        <v>16946.5</v>
      </c>
      <c r="U55" s="1282">
        <v>16946.7</v>
      </c>
      <c r="V55" s="1295">
        <v>16931.599999999999</v>
      </c>
    </row>
    <row r="56" spans="1:24" x14ac:dyDescent="0.25">
      <c r="A56" s="125"/>
      <c r="B56" s="58" t="s">
        <v>1800</v>
      </c>
      <c r="C56" s="137"/>
      <c r="D56" s="137"/>
      <c r="E56" s="138"/>
      <c r="F56" s="138"/>
      <c r="G56" s="138"/>
      <c r="H56" s="138"/>
      <c r="I56" s="137"/>
      <c r="J56" s="138"/>
      <c r="K56" s="137"/>
      <c r="L56" s="82"/>
      <c r="M56" s="105"/>
      <c r="N56" s="110"/>
      <c r="O56" s="1276"/>
      <c r="P56" s="1289"/>
      <c r="Q56" s="1302"/>
      <c r="R56" s="1282"/>
      <c r="S56" s="1289"/>
      <c r="T56" s="1302"/>
      <c r="U56" s="1282"/>
      <c r="V56" s="1295"/>
    </row>
    <row r="57" spans="1:24" x14ac:dyDescent="0.25">
      <c r="A57" s="125">
        <v>47</v>
      </c>
      <c r="B57" s="163" t="s">
        <v>1801</v>
      </c>
      <c r="C57" s="139">
        <v>55836</v>
      </c>
      <c r="D57" s="139">
        <v>56139</v>
      </c>
      <c r="E57" s="140">
        <v>56387</v>
      </c>
      <c r="F57" s="140">
        <v>56770</v>
      </c>
      <c r="G57" s="140">
        <v>56917</v>
      </c>
      <c r="H57" s="140">
        <v>57053</v>
      </c>
      <c r="I57" s="139">
        <v>59062</v>
      </c>
      <c r="J57" s="140">
        <v>59423</v>
      </c>
      <c r="K57" s="139">
        <v>59738</v>
      </c>
      <c r="L57" s="83">
        <v>60018</v>
      </c>
      <c r="M57" s="106">
        <v>60253</v>
      </c>
      <c r="N57" s="111">
        <v>60309</v>
      </c>
      <c r="O57" s="1277">
        <v>60380</v>
      </c>
      <c r="P57" s="1290">
        <v>60598</v>
      </c>
      <c r="Q57" s="1303">
        <v>60762</v>
      </c>
      <c r="R57" s="1283">
        <v>60868</v>
      </c>
      <c r="S57" s="1290">
        <v>61066</v>
      </c>
      <c r="T57" s="1303">
        <v>61241</v>
      </c>
      <c r="U57" s="1283">
        <v>61449</v>
      </c>
      <c r="V57" s="1296">
        <v>61579</v>
      </c>
    </row>
    <row r="58" spans="1:24" x14ac:dyDescent="0.25">
      <c r="A58" s="125">
        <v>48</v>
      </c>
      <c r="B58" s="163" t="s">
        <v>1802</v>
      </c>
      <c r="C58" s="139">
        <v>45261</v>
      </c>
      <c r="D58" s="139">
        <v>45385</v>
      </c>
      <c r="E58" s="140">
        <v>45429</v>
      </c>
      <c r="F58" s="140">
        <v>45546</v>
      </c>
      <c r="G58" s="140">
        <v>45586</v>
      </c>
      <c r="H58" s="140">
        <v>45603</v>
      </c>
      <c r="I58" s="139">
        <v>49627</v>
      </c>
      <c r="J58" s="140">
        <v>49774</v>
      </c>
      <c r="K58" s="139">
        <v>49978</v>
      </c>
      <c r="L58" s="83">
        <v>50060</v>
      </c>
      <c r="M58" s="106">
        <v>50203</v>
      </c>
      <c r="N58" s="111">
        <v>50166</v>
      </c>
      <c r="O58" s="1277">
        <v>50161</v>
      </c>
      <c r="P58" s="1290">
        <v>50163</v>
      </c>
      <c r="Q58" s="1303">
        <v>50106</v>
      </c>
      <c r="R58" s="1283">
        <v>50176</v>
      </c>
      <c r="S58" s="1290">
        <v>50345</v>
      </c>
      <c r="T58" s="1303">
        <v>50425</v>
      </c>
      <c r="U58" s="1283">
        <v>50407</v>
      </c>
      <c r="V58" s="1296">
        <v>50346</v>
      </c>
    </row>
    <row r="59" spans="1:24" ht="15" customHeight="1" x14ac:dyDescent="0.25">
      <c r="A59" s="127">
        <v>49</v>
      </c>
      <c r="B59" s="94" t="s">
        <v>1803</v>
      </c>
      <c r="C59" s="141">
        <v>333624</v>
      </c>
      <c r="D59" s="141">
        <v>333799</v>
      </c>
      <c r="E59" s="142">
        <v>333976</v>
      </c>
      <c r="F59" s="142">
        <v>334141</v>
      </c>
      <c r="G59" s="142">
        <v>334287</v>
      </c>
      <c r="H59" s="142">
        <v>334420</v>
      </c>
      <c r="I59" s="141">
        <v>334533</v>
      </c>
      <c r="J59" s="142">
        <v>334637</v>
      </c>
      <c r="K59" s="141">
        <v>334753</v>
      </c>
      <c r="L59" s="85">
        <v>334880</v>
      </c>
      <c r="M59" s="113">
        <v>335013</v>
      </c>
      <c r="N59" s="112">
        <v>335080</v>
      </c>
      <c r="O59" s="1278">
        <v>335248</v>
      </c>
      <c r="P59" s="1291">
        <v>335431</v>
      </c>
      <c r="Q59" s="1304">
        <v>335612</v>
      </c>
      <c r="R59" s="1284">
        <v>335773</v>
      </c>
      <c r="S59" s="1291">
        <v>335925</v>
      </c>
      <c r="T59" s="1304">
        <v>336070</v>
      </c>
      <c r="U59" s="1284">
        <v>336194</v>
      </c>
      <c r="V59" s="1297">
        <v>336306</v>
      </c>
    </row>
    <row r="60" spans="1:24" x14ac:dyDescent="0.25">
      <c r="A60" s="1355" t="s">
        <v>1804</v>
      </c>
      <c r="B60" s="1355"/>
      <c r="C60" s="1355"/>
      <c r="D60" s="1355"/>
      <c r="E60" s="1355"/>
      <c r="F60" s="1355"/>
      <c r="G60" s="1355"/>
      <c r="H60" s="1355"/>
      <c r="I60" s="1355"/>
      <c r="J60" s="1355"/>
      <c r="K60" s="131"/>
      <c r="L60" s="86"/>
      <c r="M60" s="116"/>
      <c r="N60" s="167"/>
      <c r="O60" s="86"/>
      <c r="P60" s="116"/>
      <c r="Q60" s="167"/>
      <c r="R60" s="86"/>
      <c r="S60" s="116"/>
      <c r="T60" s="167"/>
      <c r="U60" s="86"/>
      <c r="V60" s="116"/>
    </row>
    <row r="61" spans="1:24" x14ac:dyDescent="0.25">
      <c r="A61" s="1338" t="s">
        <v>1805</v>
      </c>
      <c r="B61" s="1338"/>
      <c r="C61" s="1338"/>
      <c r="D61" s="1338"/>
      <c r="E61" s="1338"/>
      <c r="F61" s="1338"/>
      <c r="G61" s="1338"/>
      <c r="H61" s="1338"/>
      <c r="I61" s="1338"/>
      <c r="J61" s="1338"/>
      <c r="K61" s="91"/>
      <c r="L61" s="87"/>
      <c r="M61" s="117"/>
      <c r="N61" s="168"/>
      <c r="O61" s="87"/>
      <c r="P61" s="117"/>
      <c r="Q61" s="168"/>
      <c r="R61" s="87"/>
      <c r="S61" s="117"/>
      <c r="T61" s="168"/>
      <c r="U61" s="87"/>
      <c r="V61" s="117"/>
    </row>
    <row r="62" spans="1:24" x14ac:dyDescent="0.25">
      <c r="A62" s="1338" t="s">
        <v>1806</v>
      </c>
      <c r="B62" s="1338"/>
      <c r="C62" s="1338"/>
      <c r="D62" s="1338"/>
      <c r="E62" s="1338"/>
      <c r="F62" s="1338"/>
      <c r="G62" s="1338"/>
      <c r="H62" s="1338"/>
      <c r="I62" s="1338"/>
      <c r="J62" s="1338"/>
      <c r="K62" s="91"/>
      <c r="L62" s="87"/>
      <c r="M62" s="117"/>
      <c r="N62" s="168"/>
      <c r="O62" s="87"/>
      <c r="P62" s="117"/>
      <c r="Q62" s="168"/>
      <c r="R62" s="87"/>
      <c r="S62" s="117"/>
      <c r="T62" s="168"/>
      <c r="U62" s="87"/>
      <c r="V62" s="117"/>
    </row>
    <row r="63" spans="1:24" x14ac:dyDescent="0.25">
      <c r="A63" s="1338" t="s">
        <v>1807</v>
      </c>
      <c r="B63" s="1338"/>
      <c r="C63" s="1338"/>
      <c r="D63" s="1338"/>
      <c r="E63" s="1338"/>
      <c r="F63" s="1338"/>
      <c r="G63" s="1338"/>
      <c r="H63" s="1338"/>
      <c r="I63" s="1338"/>
      <c r="J63" s="1338"/>
      <c r="K63" s="91"/>
      <c r="L63" s="87"/>
      <c r="M63" s="117"/>
      <c r="N63" s="168"/>
      <c r="O63" s="87"/>
      <c r="P63" s="117"/>
      <c r="Q63" s="168"/>
      <c r="R63" s="87"/>
      <c r="S63" s="117"/>
      <c r="T63" s="168"/>
      <c r="U63" s="87"/>
      <c r="V63" s="117"/>
    </row>
    <row r="64" spans="1:24" x14ac:dyDescent="0.25">
      <c r="A64" s="1338" t="s">
        <v>1808</v>
      </c>
      <c r="B64" s="1338"/>
      <c r="C64" s="1338"/>
      <c r="D64" s="1338"/>
      <c r="E64" s="1338"/>
      <c r="F64" s="1338"/>
      <c r="G64" s="1338"/>
      <c r="H64" s="1338"/>
      <c r="I64" s="1338"/>
      <c r="J64" s="1338"/>
      <c r="K64" s="91"/>
      <c r="L64" s="87"/>
      <c r="M64" s="117"/>
      <c r="N64" s="168"/>
      <c r="O64" s="87"/>
      <c r="P64" s="117"/>
      <c r="Q64" s="168"/>
      <c r="R64" s="87"/>
      <c r="S64" s="117"/>
      <c r="T64" s="168"/>
      <c r="U64" s="87"/>
      <c r="V64" s="117"/>
    </row>
    <row r="65" spans="1:22" x14ac:dyDescent="0.25">
      <c r="A65" s="1338" t="s">
        <v>1809</v>
      </c>
      <c r="B65" s="1338"/>
      <c r="C65" s="1338"/>
      <c r="D65" s="1338"/>
      <c r="E65" s="1338"/>
      <c r="F65" s="1338"/>
      <c r="G65" s="1338"/>
      <c r="H65" s="1338"/>
      <c r="I65" s="1338"/>
      <c r="J65" s="1338"/>
      <c r="K65" s="91"/>
      <c r="L65" s="87"/>
      <c r="M65" s="117"/>
      <c r="N65" s="168"/>
      <c r="O65" s="87"/>
      <c r="P65" s="117"/>
      <c r="Q65" s="168"/>
      <c r="R65" s="87"/>
      <c r="S65" s="117"/>
      <c r="T65" s="168"/>
      <c r="U65" s="87"/>
      <c r="V65" s="117"/>
    </row>
    <row r="66" spans="1:22" ht="14.45" customHeight="1" x14ac:dyDescent="0.25">
      <c r="A66" s="1338" t="s">
        <v>1810</v>
      </c>
      <c r="B66" s="1338"/>
      <c r="C66" s="1338"/>
      <c r="D66" s="1338"/>
      <c r="E66" s="1338"/>
      <c r="F66" s="1338"/>
      <c r="G66" s="1338"/>
      <c r="H66" s="1338"/>
      <c r="I66" s="1338"/>
      <c r="J66" s="1338"/>
      <c r="K66" s="91"/>
      <c r="L66" s="87"/>
      <c r="M66" s="117"/>
      <c r="N66" s="168"/>
      <c r="O66" s="87"/>
      <c r="P66" s="117"/>
      <c r="Q66" s="168"/>
      <c r="R66" s="87"/>
      <c r="S66" s="117"/>
      <c r="T66" s="168"/>
      <c r="U66" s="87"/>
      <c r="V66" s="117"/>
    </row>
    <row r="67" spans="1:22" ht="14.45" customHeight="1" x14ac:dyDescent="0.25">
      <c r="A67" s="1339" t="s">
        <v>1811</v>
      </c>
      <c r="B67" s="1339"/>
      <c r="C67" s="1339"/>
      <c r="D67" s="1339"/>
      <c r="E67" s="1339"/>
      <c r="F67" s="1339"/>
      <c r="G67" s="1339"/>
      <c r="H67" s="1339"/>
      <c r="I67" s="1339"/>
      <c r="J67" s="1339"/>
      <c r="K67" s="93"/>
      <c r="L67" s="88"/>
      <c r="M67" s="119"/>
      <c r="N67" s="169"/>
      <c r="O67" s="88"/>
      <c r="P67" s="119"/>
      <c r="Q67" s="169"/>
      <c r="R67" s="88"/>
      <c r="S67" s="119"/>
      <c r="T67" s="169"/>
      <c r="U67" s="88"/>
      <c r="V67" s="119"/>
    </row>
    <row r="68" spans="1:22" ht="14.45" customHeight="1" x14ac:dyDescent="0.25">
      <c r="A68" s="1340" t="s">
        <v>246</v>
      </c>
      <c r="B68" s="1340"/>
      <c r="C68" s="1340"/>
      <c r="D68" s="1340"/>
      <c r="E68" s="1340"/>
      <c r="F68" s="1340"/>
      <c r="G68" s="1340"/>
      <c r="H68" s="1340"/>
      <c r="I68" s="1340"/>
      <c r="J68" s="1340"/>
      <c r="K68" s="94"/>
      <c r="L68" s="89"/>
      <c r="M68" s="120"/>
      <c r="N68" s="170"/>
      <c r="O68" s="89"/>
      <c r="P68" s="120"/>
      <c r="Q68" s="170"/>
      <c r="R68" s="89"/>
      <c r="S68" s="120"/>
      <c r="T68" s="170"/>
      <c r="U68" s="89"/>
      <c r="V68" s="120"/>
    </row>
    <row r="69" spans="1:22" x14ac:dyDescent="0.25">
      <c r="A69" s="1337" t="s">
        <v>888</v>
      </c>
      <c r="B69" s="1337"/>
      <c r="C69" s="1337"/>
      <c r="D69" s="1337"/>
      <c r="E69" s="1337"/>
      <c r="F69" s="1337"/>
      <c r="G69" s="1337"/>
    </row>
    <row r="70" spans="1:22" x14ac:dyDescent="0.25">
      <c r="A70" s="1341" t="s">
        <v>889</v>
      </c>
      <c r="B70" s="1341"/>
      <c r="C70" s="1341"/>
      <c r="D70" s="1341"/>
      <c r="E70" s="1341"/>
      <c r="F70" s="1341"/>
      <c r="G70" s="1341"/>
    </row>
    <row r="71" spans="1:22" x14ac:dyDescent="0.25">
      <c r="A71" s="1336" t="s">
        <v>890</v>
      </c>
      <c r="B71" s="1336"/>
      <c r="C71" s="1336"/>
      <c r="D71" s="1336"/>
      <c r="E71" s="1336"/>
      <c r="F71" s="1336"/>
      <c r="G71" s="1336"/>
    </row>
    <row r="72" spans="1:22" x14ac:dyDescent="0.25">
      <c r="A72" s="1335" t="s">
        <v>891</v>
      </c>
      <c r="B72" s="1335"/>
      <c r="C72" s="1335"/>
      <c r="D72" s="1335"/>
      <c r="E72" s="1335"/>
      <c r="F72" s="1335"/>
      <c r="G72" s="1335"/>
    </row>
    <row r="73" spans="1:22" x14ac:dyDescent="0.25">
      <c r="A73" s="1335" t="s">
        <v>892</v>
      </c>
      <c r="B73" s="1335"/>
      <c r="C73" s="1335"/>
      <c r="D73" s="1335"/>
      <c r="E73" s="1335"/>
      <c r="F73" s="1335"/>
      <c r="G73" s="1335"/>
    </row>
    <row r="74" spans="1:22" x14ac:dyDescent="0.25">
      <c r="A74" s="1336" t="s">
        <v>893</v>
      </c>
      <c r="B74" s="1336"/>
      <c r="C74" s="1336"/>
      <c r="D74" s="1336"/>
      <c r="E74" s="1336"/>
      <c r="F74" s="1336"/>
      <c r="G74" s="1336"/>
    </row>
    <row r="76" spans="1:22" x14ac:dyDescent="0.25">
      <c r="A76" s="1337" t="s">
        <v>894</v>
      </c>
      <c r="B76" s="1337"/>
      <c r="C76" s="1337"/>
      <c r="D76" s="1337"/>
      <c r="E76" s="1337"/>
      <c r="F76" s="1337"/>
      <c r="G76" s="1337"/>
    </row>
    <row r="78" spans="1:22" x14ac:dyDescent="0.25">
      <c r="A78" s="35" t="s">
        <v>245</v>
      </c>
    </row>
    <row r="80" spans="1:22" x14ac:dyDescent="0.25">
      <c r="A80" s="35" t="s">
        <v>246</v>
      </c>
    </row>
    <row r="82" spans="1:23" x14ac:dyDescent="0.25">
      <c r="A82" t="s">
        <v>884</v>
      </c>
      <c r="B82" t="s">
        <v>885</v>
      </c>
      <c r="C82" s="130">
        <v>44743</v>
      </c>
      <c r="D82" s="130">
        <v>44774</v>
      </c>
      <c r="E82" s="130">
        <v>44805</v>
      </c>
      <c r="F82" s="130">
        <v>44835</v>
      </c>
      <c r="G82" s="130">
        <v>44866</v>
      </c>
      <c r="H82" s="130">
        <v>44896</v>
      </c>
      <c r="I82" s="130">
        <v>44927</v>
      </c>
      <c r="J82" s="130">
        <v>44958</v>
      </c>
      <c r="K82" s="130">
        <v>44986</v>
      </c>
      <c r="L82" s="92">
        <v>45017</v>
      </c>
      <c r="M82" s="123">
        <v>45047</v>
      </c>
      <c r="N82" s="172">
        <v>45078</v>
      </c>
      <c r="O82" s="92">
        <v>45108</v>
      </c>
      <c r="P82" s="123">
        <v>45139</v>
      </c>
      <c r="Q82" s="172">
        <v>45170</v>
      </c>
      <c r="R82" s="92">
        <v>45200</v>
      </c>
      <c r="S82" s="123">
        <v>45231</v>
      </c>
      <c r="T82" s="172">
        <v>45261</v>
      </c>
      <c r="U82" s="1285"/>
      <c r="V82" s="1298"/>
    </row>
    <row r="83" spans="1:23" x14ac:dyDescent="0.25">
      <c r="A83" t="s">
        <v>396</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90">
        <f>'Federal and State Purchases'!AE33</f>
        <v>5263</v>
      </c>
      <c r="M83" s="121">
        <f>'Federal and State Purchases'!AF33</f>
        <v>5280</v>
      </c>
      <c r="N83" s="171">
        <f>'Federal and State Purchases'!AG33</f>
        <v>5301</v>
      </c>
      <c r="O83" s="90">
        <f>'Federal and State Purchases'!AH33</f>
        <v>5301</v>
      </c>
      <c r="P83" s="121">
        <f>'Federal and State Purchases'!AI33</f>
        <v>5329</v>
      </c>
      <c r="Q83" s="171">
        <f>'Federal and State Purchases'!AJ33</f>
        <v>5346</v>
      </c>
      <c r="R83" s="90">
        <f>'Federal and State Purchases'!AK33</f>
        <v>5375</v>
      </c>
      <c r="S83" s="121">
        <f>'Federal and State Purchases'!AL33</f>
        <v>5383</v>
      </c>
      <c r="T83" s="171">
        <f>'Federal and State Purchases'!AM33</f>
        <v>5404</v>
      </c>
      <c r="U83" s="90"/>
      <c r="V83" s="121"/>
    </row>
    <row r="84" spans="1:23" x14ac:dyDescent="0.2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90">
        <f>'Federal and State Purchases'!AE34</f>
        <v>14482</v>
      </c>
      <c r="M84" s="121">
        <f>'Federal and State Purchases'!AF34</f>
        <v>14508</v>
      </c>
      <c r="N84" s="171">
        <f>'Federal and State Purchases'!AG34</f>
        <v>14536</v>
      </c>
      <c r="O84" s="90">
        <f>'Federal and State Purchases'!AH34</f>
        <v>14564</v>
      </c>
      <c r="P84" s="121">
        <f>'Federal and State Purchases'!AI34</f>
        <v>14585</v>
      </c>
      <c r="Q84" s="171">
        <f>'Federal and State Purchases'!AJ34</f>
        <v>14612</v>
      </c>
      <c r="R84" s="90">
        <f>'Federal and State Purchases'!AK34</f>
        <v>14642</v>
      </c>
      <c r="S84" s="121">
        <f>'Federal and State Purchases'!AL34</f>
        <v>14665</v>
      </c>
      <c r="T84" s="171">
        <f>'Federal and State Purchases'!AM34</f>
        <v>14711</v>
      </c>
      <c r="U84" s="90"/>
      <c r="V84" s="121"/>
    </row>
    <row r="85" spans="1:23" x14ac:dyDescent="0.25">
      <c r="B85" t="s">
        <v>1941</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90">
        <f>'Federal and State Purchases'!AE35</f>
        <v>19745</v>
      </c>
      <c r="M85" s="121">
        <f>'Federal and State Purchases'!AF35</f>
        <v>19788</v>
      </c>
      <c r="N85" s="171">
        <f>'Federal and State Purchases'!AG35</f>
        <v>19837</v>
      </c>
      <c r="O85" s="90">
        <f>'Federal and State Purchases'!AH35</f>
        <v>19865</v>
      </c>
      <c r="P85" s="121">
        <f>'Federal and State Purchases'!AI35</f>
        <v>19914</v>
      </c>
      <c r="Q85" s="171">
        <f>'Federal and State Purchases'!AJ35</f>
        <v>19958</v>
      </c>
      <c r="R85" s="90">
        <f>'Federal and State Purchases'!AK35</f>
        <v>20017</v>
      </c>
      <c r="S85" s="121">
        <f>'Federal and State Purchases'!AL35</f>
        <v>20048</v>
      </c>
      <c r="T85" s="171">
        <f>'Federal and State Purchases'!AM35</f>
        <v>20115</v>
      </c>
      <c r="U85" s="90"/>
      <c r="V85" s="121"/>
    </row>
    <row r="86" spans="1:23" x14ac:dyDescent="0.2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90">
        <f>'Federal and State Purchases'!AE36</f>
        <v>382073</v>
      </c>
      <c r="M86" s="121">
        <f>'Federal and State Purchases'!AF36</f>
        <v>388978</v>
      </c>
      <c r="N86" s="171">
        <f>'Federal and State Purchases'!AG36</f>
        <v>396538</v>
      </c>
      <c r="O86" s="90">
        <f>'Federal and State Purchases'!AH36</f>
        <v>404059</v>
      </c>
      <c r="P86" s="121">
        <f>'Federal and State Purchases'!AI36</f>
        <v>407847</v>
      </c>
      <c r="Q86" s="171">
        <f>'Federal and State Purchases'!AJ36</f>
        <v>418897</v>
      </c>
      <c r="R86" s="90">
        <f>'Federal and State Purchases'!AK36</f>
        <v>432334</v>
      </c>
      <c r="S86" s="121">
        <f>'Federal and State Purchases'!AL36</f>
        <v>440095</v>
      </c>
      <c r="T86" s="171">
        <f>'Federal and State Purchases'!AM36</f>
        <v>446948</v>
      </c>
      <c r="U86" s="90"/>
      <c r="V86" s="121"/>
    </row>
    <row r="88" spans="1:23" x14ac:dyDescent="0.25">
      <c r="A88" s="155"/>
    </row>
    <row r="89" spans="1:23" ht="16.5" x14ac:dyDescent="0.25">
      <c r="A89" s="155"/>
      <c r="B89" t="s">
        <v>2279</v>
      </c>
      <c r="I89" s="1525">
        <v>119.011</v>
      </c>
      <c r="J89" s="1525">
        <v>119.386</v>
      </c>
      <c r="K89" s="1525">
        <v>119.53</v>
      </c>
      <c r="L89" s="1525">
        <v>119.893</v>
      </c>
      <c r="M89" s="1525">
        <v>120.02</v>
      </c>
      <c r="N89" s="1525">
        <v>120.221</v>
      </c>
      <c r="O89" s="1525">
        <v>120.373</v>
      </c>
      <c r="P89" s="1525">
        <v>120.803</v>
      </c>
      <c r="Q89" s="1525">
        <v>121.267</v>
      </c>
      <c r="R89" s="1525">
        <v>121.309</v>
      </c>
      <c r="S89" s="1525">
        <v>121.29600000000001</v>
      </c>
      <c r="T89" s="1525">
        <v>121.44799999999999</v>
      </c>
      <c r="U89" s="1525">
        <v>121.90600000000001</v>
      </c>
      <c r="V89" s="1525">
        <v>122.312</v>
      </c>
      <c r="W89">
        <f>U90*V89</f>
        <v>122.71935215657966</v>
      </c>
    </row>
    <row r="90" spans="1:23" x14ac:dyDescent="0.25">
      <c r="A90" s="155"/>
      <c r="U90" s="1279">
        <f>V89/U89</f>
        <v>1.0033304349252703</v>
      </c>
    </row>
    <row r="92" spans="1:23" x14ac:dyDescent="0.25">
      <c r="O92" s="1279">
        <f>AVERAGE(O89:Q89)</f>
        <v>120.81433333333332</v>
      </c>
      <c r="R92" s="1279">
        <f>AVERAGE(R89:T89)</f>
        <v>121.351</v>
      </c>
      <c r="U92" s="1279">
        <f>AVERAGE(U89:W89)</f>
        <v>122.31245071885989</v>
      </c>
    </row>
    <row r="93" spans="1:23" x14ac:dyDescent="0.25">
      <c r="O93" s="1524">
        <f>(R92/O92)^4-1</f>
        <v>1.7887054480272058E-2</v>
      </c>
      <c r="R93" s="1524">
        <f>(U92/R92)^4-1</f>
        <v>3.2070189593098375E-2</v>
      </c>
    </row>
  </sheetData>
  <mergeCells count="23">
    <mergeCell ref="A65:J65"/>
    <mergeCell ref="A2:J2"/>
    <mergeCell ref="A4:C4"/>
    <mergeCell ref="A5:A7"/>
    <mergeCell ref="B5:B7"/>
    <mergeCell ref="C5:J5"/>
    <mergeCell ref="C6:H6"/>
    <mergeCell ref="I6:K6"/>
    <mergeCell ref="A60:J60"/>
    <mergeCell ref="A61:J61"/>
    <mergeCell ref="A62:J62"/>
    <mergeCell ref="A63:J63"/>
    <mergeCell ref="A64:J64"/>
    <mergeCell ref="A72:G72"/>
    <mergeCell ref="A73:G73"/>
    <mergeCell ref="A74:G74"/>
    <mergeCell ref="A76:G76"/>
    <mergeCell ref="A66:J66"/>
    <mergeCell ref="A67:J67"/>
    <mergeCell ref="A68:J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February - MPI</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2024-03-29T18:57:51Z</dcterms:modified>
  <cp:category/>
  <cp:contentStatus/>
</cp:coreProperties>
</file>