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AEE08EB7-92B2-2740-BB3A-DD8521BF57BE}" xr6:coauthVersionLast="47" xr6:coauthVersionMax="47" xr10:uidLastSave="{00000000-0000-0000-0000-000000000000}"/>
  <bookViews>
    <workbookView xWindow="20" yWindow="500" windowWidth="33600" windowHeight="19720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3" i="1" l="1"/>
  <c r="P63" i="1"/>
  <c r="P55" i="1"/>
  <c r="Q111" i="1" l="1"/>
  <c r="R111" i="1"/>
  <c r="S111" i="1"/>
  <c r="T111" i="1"/>
  <c r="U111" i="1"/>
  <c r="U113" i="1" s="1"/>
  <c r="V111" i="1"/>
  <c r="V113" i="1" s="1"/>
  <c r="Q113" i="1"/>
  <c r="R113" i="1"/>
  <c r="S113" i="1"/>
  <c r="T113" i="1"/>
  <c r="P111" i="1"/>
  <c r="P95" i="1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E62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E55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F48" i="5"/>
  <c r="G48" i="5"/>
  <c r="H48" i="5"/>
  <c r="I48" i="5"/>
  <c r="J48" i="5"/>
  <c r="K48" i="5"/>
  <c r="L48" i="5"/>
  <c r="E48" i="5"/>
  <c r="F42" i="5"/>
  <c r="G42" i="5"/>
  <c r="H42" i="5"/>
  <c r="I42" i="5"/>
  <c r="J42" i="5"/>
  <c r="K42" i="5"/>
  <c r="E42" i="5"/>
  <c r="F36" i="5"/>
  <c r="G36" i="5"/>
  <c r="H36" i="5"/>
  <c r="I36" i="5"/>
  <c r="J36" i="5"/>
  <c r="K36" i="5"/>
  <c r="E36" i="5"/>
  <c r="X29" i="5"/>
  <c r="Y29" i="5"/>
  <c r="Z29" i="5"/>
  <c r="AA29" i="5"/>
  <c r="M29" i="5"/>
  <c r="N29" i="5"/>
  <c r="O29" i="5"/>
  <c r="P29" i="5"/>
  <c r="Q29" i="5"/>
  <c r="R29" i="5"/>
  <c r="S29" i="5"/>
  <c r="T29" i="5"/>
  <c r="U29" i="5"/>
  <c r="V29" i="5"/>
  <c r="W29" i="5"/>
  <c r="F29" i="5"/>
  <c r="G29" i="5"/>
  <c r="H29" i="5"/>
  <c r="I29" i="5"/>
  <c r="J29" i="5"/>
  <c r="K29" i="5"/>
  <c r="L29" i="5"/>
  <c r="E29" i="5"/>
  <c r="X22" i="5"/>
  <c r="Y22" i="5"/>
  <c r="Z22" i="5"/>
  <c r="AA22" i="5"/>
  <c r="T22" i="5"/>
  <c r="U22" i="5"/>
  <c r="V22" i="5"/>
  <c r="W22" i="5"/>
  <c r="M22" i="5"/>
  <c r="N22" i="5"/>
  <c r="O22" i="5"/>
  <c r="P22" i="5"/>
  <c r="Q22" i="5"/>
  <c r="R22" i="5"/>
  <c r="S22" i="5"/>
  <c r="F22" i="5"/>
  <c r="G22" i="5"/>
  <c r="H22" i="5"/>
  <c r="I22" i="5"/>
  <c r="J22" i="5"/>
  <c r="K22" i="5"/>
  <c r="L22" i="5"/>
  <c r="E22" i="5"/>
  <c r="J16" i="9"/>
  <c r="J15" i="9"/>
  <c r="J14" i="9"/>
  <c r="F21" i="5"/>
  <c r="O106" i="1" l="1"/>
  <c r="O103" i="1"/>
  <c r="O100" i="1"/>
  <c r="O97" i="1"/>
  <c r="O93" i="1"/>
  <c r="O86" i="1"/>
  <c r="O85" i="1"/>
  <c r="O72" i="1"/>
  <c r="O68" i="1"/>
  <c r="O61" i="1"/>
  <c r="O60" i="1"/>
  <c r="O59" i="1"/>
  <c r="O57" i="1"/>
  <c r="O54" i="1"/>
  <c r="O41" i="1"/>
  <c r="O35" i="1"/>
  <c r="O34" i="1"/>
  <c r="N34" i="1" l="1"/>
  <c r="N29" i="1"/>
  <c r="O29" i="1"/>
  <c r="O28" i="1"/>
  <c r="O27" i="1"/>
  <c r="O21" i="1"/>
  <c r="N18" i="1"/>
  <c r="O18" i="1"/>
  <c r="O15" i="1"/>
  <c r="O12" i="1"/>
  <c r="N12" i="1"/>
  <c r="O7" i="1"/>
  <c r="O8" i="1" s="1"/>
  <c r="O5" i="1"/>
  <c r="N5" i="1"/>
  <c r="F11" i="1"/>
  <c r="G11" i="1"/>
  <c r="H11" i="1"/>
  <c r="I11" i="1"/>
  <c r="J11" i="1"/>
  <c r="K11" i="1"/>
  <c r="L11" i="1"/>
  <c r="AC12" i="1"/>
  <c r="AD12" i="1"/>
  <c r="AG12" i="1"/>
  <c r="N15" i="1"/>
  <c r="AC15" i="1"/>
  <c r="AD15" i="1"/>
  <c r="AG15" i="1"/>
  <c r="AC18" i="1"/>
  <c r="AD18" i="1"/>
  <c r="AG18" i="1"/>
  <c r="N21" i="1"/>
  <c r="AC21" i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O6" i="1" l="1"/>
  <c r="P21" i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O11" i="1"/>
  <c r="P12" i="1"/>
  <c r="N11" i="1"/>
  <c r="AE18" i="1"/>
  <c r="N8" i="1"/>
  <c r="N6" i="1"/>
  <c r="N30" i="1" s="1"/>
  <c r="N31" i="1" s="1"/>
  <c r="N26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B14" i="17"/>
  <c r="B15" i="17" s="1"/>
  <c r="C9" i="17"/>
  <c r="H7" i="17"/>
  <c r="E6" i="17"/>
  <c r="F6" i="17"/>
  <c r="G6" i="17"/>
  <c r="H6" i="17"/>
  <c r="I6" i="17"/>
  <c r="D6" i="17"/>
  <c r="D5" i="17"/>
  <c r="E5" i="17"/>
  <c r="F5" i="17"/>
  <c r="G5" i="17"/>
  <c r="H5" i="17"/>
  <c r="H9" i="17" s="1"/>
  <c r="C5" i="17"/>
  <c r="C4" i="17"/>
  <c r="D4" i="17"/>
  <c r="D9" i="17" s="1"/>
  <c r="E4" i="17"/>
  <c r="F4" i="17"/>
  <c r="G4" i="17"/>
  <c r="B4" i="17"/>
  <c r="B9" i="17" s="1"/>
  <c r="B12" i="17" s="1"/>
  <c r="B13" i="17" s="1"/>
  <c r="E2" i="17"/>
  <c r="E7" i="17" s="1"/>
  <c r="E9" i="17" l="1"/>
  <c r="F9" i="17"/>
  <c r="G7" i="17"/>
  <c r="G9" i="17" s="1"/>
  <c r="J7" i="17"/>
  <c r="J9" i="17" s="1"/>
  <c r="I7" i="17"/>
  <c r="I9" i="17" s="1"/>
  <c r="D12" i="17" s="1"/>
  <c r="D13" i="17" s="1"/>
  <c r="F7" i="17"/>
  <c r="C14" i="17"/>
  <c r="C15" i="17" s="1"/>
  <c r="Q11" i="1"/>
  <c r="R12" i="1"/>
  <c r="AE12" i="1"/>
  <c r="P26" i="1"/>
  <c r="Q27" i="1"/>
  <c r="C12" i="17" l="1"/>
  <c r="C13" i="17" s="1"/>
  <c r="R11" i="1"/>
  <c r="S12" i="1"/>
  <c r="Q26" i="1"/>
  <c r="R27" i="1"/>
  <c r="M72" i="1"/>
  <c r="L72" i="1"/>
  <c r="O11" i="9"/>
  <c r="O12" i="9"/>
  <c r="O13" i="9"/>
  <c r="O10" i="9"/>
  <c r="O7" i="9"/>
  <c r="O8" i="9"/>
  <c r="O9" i="9"/>
  <c r="O6" i="9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L12" i="9"/>
  <c r="L11" i="9"/>
  <c r="L10" i="9"/>
  <c r="L9" i="9"/>
  <c r="F28" i="5" l="1"/>
  <c r="F35" i="5"/>
  <c r="E41" i="5"/>
  <c r="F41" i="5"/>
  <c r="F47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G21" i="5" s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4" i="5"/>
  <c r="G47" i="5"/>
  <c r="G50" i="5" s="1"/>
  <c r="N55" i="1"/>
  <c r="N50" i="1"/>
  <c r="O26" i="4"/>
  <c r="N26" i="4"/>
  <c r="L112" i="1"/>
  <c r="E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P64" i="1" s="1"/>
  <c r="Q64" i="1" s="1"/>
  <c r="C11" i="16"/>
  <c r="C6" i="16"/>
  <c r="C5" i="16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O92" i="1" l="1"/>
  <c r="P92" i="1"/>
  <c r="Q92" i="1"/>
  <c r="R92" i="1"/>
  <c r="P91" i="1"/>
  <c r="Q91" i="1"/>
  <c r="R91" i="1"/>
  <c r="O91" i="1"/>
  <c r="T80" i="1"/>
  <c r="O80" i="1"/>
  <c r="O90" i="1"/>
  <c r="P90" i="1"/>
  <c r="Q90" i="1"/>
  <c r="R90" i="1"/>
  <c r="P79" i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O55" i="1" l="1"/>
  <c r="R89" i="1"/>
  <c r="Q89" i="1"/>
  <c r="P89" i="1"/>
  <c r="O89" i="1"/>
  <c r="V78" i="1"/>
  <c r="V73" i="1" s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L35" i="1"/>
  <c r="AK35" i="1"/>
  <c r="AJ35" i="1"/>
  <c r="AI35" i="1"/>
  <c r="H50" i="1"/>
  <c r="W56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35" i="1" l="1"/>
  <c r="Q35" i="1" s="1"/>
  <c r="R35" i="1" s="1"/>
  <c r="L4" i="10"/>
  <c r="G38" i="11" s="1"/>
  <c r="G41" i="11" s="1"/>
  <c r="Q70" i="5"/>
  <c r="R70" i="5"/>
  <c r="P57" i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M63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P103" i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L71" i="5" l="1"/>
  <c r="J9" i="9"/>
  <c r="R6" i="10"/>
  <c r="M24" i="11" s="1"/>
  <c r="N24" i="11" s="1"/>
  <c r="T93" i="1"/>
  <c r="I56" i="6"/>
  <c r="I58" i="6" s="1"/>
  <c r="J54" i="6"/>
  <c r="U100" i="1"/>
  <c r="T83" i="1"/>
  <c r="M68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M71" i="5" l="1"/>
  <c r="J10" i="9"/>
  <c r="S6" i="10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O83" i="1"/>
  <c r="P83" i="1"/>
  <c r="Q83" i="1"/>
  <c r="R83" i="1"/>
  <c r="P54" i="1"/>
  <c r="Q54" i="1"/>
  <c r="R54" i="1"/>
  <c r="F71" i="5"/>
  <c r="D69" i="5"/>
  <c r="D62" i="5"/>
  <c r="L56" i="5"/>
  <c r="P36" i="1"/>
  <c r="O36" i="1"/>
  <c r="N71" i="5" l="1"/>
  <c r="J11" i="9"/>
  <c r="T6" i="10"/>
  <c r="V93" i="1"/>
  <c r="V112" i="1" s="1"/>
  <c r="O21" i="5" s="1"/>
  <c r="P21" i="5" s="1"/>
  <c r="Q21" i="5" s="1"/>
  <c r="R21" i="5" s="1"/>
  <c r="S21" i="5" s="1"/>
  <c r="T21" i="5" s="1"/>
  <c r="U21" i="5" s="1"/>
  <c r="V21" i="5" s="1"/>
  <c r="W21" i="5" s="1"/>
  <c r="X21" i="5" s="1"/>
  <c r="Y21" i="5" s="1"/>
  <c r="Z21" i="5" s="1"/>
  <c r="AA21" i="5" s="1"/>
  <c r="P24" i="11"/>
  <c r="O27" i="11"/>
  <c r="L49" i="5"/>
  <c r="V83" i="1"/>
  <c r="O68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O71" i="5" l="1"/>
  <c r="J12" i="9"/>
  <c r="W83" i="1"/>
  <c r="P68" i="5" s="1"/>
  <c r="H2" i="12" a="1"/>
  <c r="H12" i="12" s="1"/>
  <c r="Q24" i="11"/>
  <c r="P27" i="11"/>
  <c r="H3" i="9" a="1"/>
  <c r="P71" i="5" l="1"/>
  <c r="J13" i="9"/>
  <c r="X83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J17" i="9" s="1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J18" i="9" s="1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J19" i="9" s="1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J20" i="9" s="1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J21" i="9" s="1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J22" i="9" s="1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J23" i="9" s="1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Z71" i="5"/>
  <c r="AJ34" i="1"/>
  <c r="AJ50" i="1" s="1"/>
  <c r="AK34" i="1"/>
  <c r="AK50" i="1" s="1"/>
  <c r="AA71" i="5" l="1"/>
  <c r="J24" i="9"/>
  <c r="B2" i="12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H68" i="5"/>
  <c r="H47" i="5"/>
  <c r="H50" i="5" s="1"/>
  <c r="G24" i="5" l="1"/>
  <c r="H21" i="5"/>
  <c r="H71" i="5"/>
  <c r="J5" i="9"/>
  <c r="I68" i="5"/>
  <c r="P112" i="1"/>
  <c r="I47" i="5"/>
  <c r="I50" i="5" s="1"/>
  <c r="I71" i="5" l="1"/>
  <c r="J6" i="9"/>
  <c r="H24" i="5"/>
  <c r="I21" i="5"/>
  <c r="J68" i="5"/>
  <c r="Q112" i="1"/>
  <c r="Q95" i="1"/>
  <c r="J47" i="5" s="1"/>
  <c r="J71" i="5" l="1"/>
  <c r="J7" i="9"/>
  <c r="I24" i="5"/>
  <c r="J21" i="5"/>
  <c r="K47" i="5"/>
  <c r="K50" i="5" s="1"/>
  <c r="J50" i="5"/>
  <c r="K68" i="5"/>
  <c r="R95" i="1"/>
  <c r="R112" i="1"/>
  <c r="K71" i="5" l="1"/>
  <c r="J8" i="9"/>
  <c r="J24" i="5"/>
  <c r="K21" i="5"/>
  <c r="L47" i="5"/>
  <c r="M47" i="5" s="1"/>
  <c r="N47" i="5" s="1"/>
  <c r="O47" i="5" s="1"/>
  <c r="P47" i="5" s="1"/>
  <c r="I3" i="9" a="1"/>
  <c r="I5" i="9" s="1"/>
  <c r="I2" i="12" a="1"/>
  <c r="S112" i="1"/>
  <c r="S95" i="1"/>
  <c r="K24" i="5" l="1"/>
  <c r="L21" i="5"/>
  <c r="O50" i="5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T95" i="1"/>
  <c r="M50" i="5" s="1"/>
  <c r="L24" i="5" l="1"/>
  <c r="M21" i="5"/>
  <c r="R47" i="5"/>
  <c r="Q50" i="5"/>
  <c r="U95" i="1"/>
  <c r="N50" i="5" s="1"/>
  <c r="U112" i="1"/>
  <c r="N21" i="5" s="1"/>
  <c r="M24" i="5" l="1"/>
  <c r="S47" i="5"/>
  <c r="R50" i="5"/>
  <c r="N24" i="5" l="1"/>
  <c r="S50" i="5"/>
  <c r="T47" i="5"/>
  <c r="O111" i="1" l="1"/>
  <c r="M5" i="10"/>
  <c r="H31" i="11" s="1"/>
  <c r="H34" i="11" s="1"/>
  <c r="L5" i="10"/>
  <c r="G31" i="11" s="1"/>
  <c r="G34" i="11" s="1"/>
  <c r="O24" i="5"/>
  <c r="T50" i="5"/>
  <c r="U47" i="5"/>
  <c r="P97" i="1"/>
  <c r="O113" i="1" l="1"/>
  <c r="H28" i="5" s="1"/>
  <c r="H31" i="5" s="1"/>
  <c r="N5" i="10"/>
  <c r="I31" i="11" s="1"/>
  <c r="I34" i="11" s="1"/>
  <c r="P24" i="5"/>
  <c r="U50" i="5"/>
  <c r="V47" i="5"/>
  <c r="Q97" i="1"/>
  <c r="P113" i="1" l="1"/>
  <c r="I28" i="5" s="1"/>
  <c r="I31" i="5" s="1"/>
  <c r="O5" i="10"/>
  <c r="J31" i="11" s="1"/>
  <c r="J34" i="11" s="1"/>
  <c r="Q24" i="5"/>
  <c r="W47" i="5"/>
  <c r="V50" i="5"/>
  <c r="R97" i="1"/>
  <c r="J28" i="5" l="1"/>
  <c r="J31" i="5" s="1"/>
  <c r="P5" i="10"/>
  <c r="K31" i="11" s="1"/>
  <c r="K34" i="11" s="1"/>
  <c r="R24" i="5"/>
  <c r="X47" i="5"/>
  <c r="W50" i="5"/>
  <c r="S97" i="1"/>
  <c r="T98" i="1"/>
  <c r="K28" i="5" l="1"/>
  <c r="K31" i="5" s="1"/>
  <c r="Q5" i="10"/>
  <c r="L31" i="11" s="1"/>
  <c r="S24" i="5"/>
  <c r="Y47" i="5"/>
  <c r="X50" i="5"/>
  <c r="T97" i="1"/>
  <c r="U98" i="1"/>
  <c r="L28" i="5" l="1"/>
  <c r="L34" i="11"/>
  <c r="M31" i="11"/>
  <c r="R5" i="10"/>
  <c r="U97" i="1"/>
  <c r="V98" i="1"/>
  <c r="V97" i="1" s="1"/>
  <c r="T24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T5" i="10"/>
  <c r="S5" i="10"/>
  <c r="U24" i="5"/>
  <c r="AA47" i="5"/>
  <c r="AA50" i="5" s="1"/>
  <c r="Z50" i="5"/>
  <c r="M31" i="5" l="1"/>
  <c r="N31" i="5"/>
  <c r="O31" i="5"/>
  <c r="O31" i="11"/>
  <c r="N34" i="11"/>
  <c r="V24" i="5"/>
  <c r="P31" i="5"/>
  <c r="F3" i="9" a="1"/>
  <c r="O34" i="11" l="1"/>
  <c r="P31" i="11"/>
  <c r="W24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R31" i="5"/>
  <c r="Q34" i="11" l="1"/>
  <c r="R31" i="11"/>
  <c r="Y24" i="5"/>
  <c r="S31" i="5"/>
  <c r="R34" i="11" l="1"/>
  <c r="S31" i="11"/>
  <c r="AA24" i="5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<sst xmlns="http://schemas.openxmlformats.org/spreadsheetml/2006/main" count="1318" uniqueCount="671">
  <si>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</si>
  <si>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</si>
  <si>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</si>
  <si>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</si>
  <si>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</si>
  <si>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</si>
  <si>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</si>
  <si>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</si>
  <si>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</si>
  <si>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</si>
  <si>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</si>
  <si>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</si>
  <si>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</si>
  <si>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</si>
  <si>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</si>
  <si>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</si>
  <si>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</si>
  <si>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</si>
  <si>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</si>
  <si>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</si>
  <si>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</si>
  <si>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</si>
  <si>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</si>
  <si>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</si>
  <si>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</si>
  <si>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</si>
  <si>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</si>
  <si>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</si>
  <si>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</si>
  <si>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</si>
  <si>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</si>
  <si>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</si>
  <si>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</si>
  <si>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</si>
  <si>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</si>
  <si>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</si>
  <si>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</si>
  <si>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</si>
  <si>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</si>
  <si>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</si>
  <si>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</si>
  <si>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</si>
  <si>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</si>
  <si>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</si>
  <si>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</si>
  <si>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</si>
  <si>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</si>
  <si>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</si>
  <si>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</si>
  <si>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</si>
  <si>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</si>
  <si>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</si>
  <si>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</si>
  <si>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</si>
  <si>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</si>
  <si>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</si>
  <si>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</si>
  <si>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</si>
  <si>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</si>
  <si>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</si>
  <si>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</si>
  <si>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</si>
  <si>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</si>
  <si>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</si>
  <si>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</si>
  <si>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</si>
  <si>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</si>
  <si>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</si>
  <si>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</si>
  <si>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</si>
  <si>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</si>
  <si>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</si>
  <si>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</si>
  <si>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</si>
  <si>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</si>
  <si>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</si>
  <si>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</si>
  <si>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</si>
  <si>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</si>
  <si>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</si>
  <si>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</si>
  <si>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</si>
  <si>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</si>
  <si>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</si>
  <si>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</si>
  <si>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</si>
  <si>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</si>
  <si>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</si>
  <si>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</si>
  <si>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</si>
  <si>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</si>
  <si>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</si>
  <si>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</si>
  <si>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</si>
  <si>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</si>
  <si>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</si>
  <si>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</si>
  <si>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</si>
  <si>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</si>
  <si>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</si>
  <si>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</si>
  <si>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</si>
  <si>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</si>
  <si>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</si>
  <si>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</si>
  <si>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</si>
  <si>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</si>
  <si>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</si>
  <si>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</si>
  <si>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</si>
  <si>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</si>
  <si>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</si>
  <si>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</si>
  <si>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</si>
  <si>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</si>
  <si>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</si>
  <si>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</si>
  <si>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</si>
  <si>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</si>
  <si>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</si>
  <si>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</si>
  <si>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</si>
  <si>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</si>
  <si>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</si>
  <si>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</si>
  <si>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</si>
  <si>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</si>
  <si>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</si>
  <si>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</si>
  <si>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</si>
  <si>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</si>
  <si>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</si>
  <si>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</si>
  <si>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</si>
  <si>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</si>
  <si>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</si>
  <si>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</si>
  <si>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</si>
  <si>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</si>
  <si>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</si>
  <si>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</si>
  <si>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</si>
  <si>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</si>
  <si>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</si>
  <si>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</si>
  <si>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</si>
  <si>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</si>
  <si>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</si>
  <si>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</si>
  <si>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</si>
  <si>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</si>
  <si>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</si>
  <si>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</si>
  <si>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</si>
  <si>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</si>
  <si>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</si>
  <si>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</si>
  <si>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</si>
  <si>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</si>
  <si>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</si>
  <si>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</si>
  <si>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</si>
  <si>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</si>
  <si>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</si>
  <si>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</si>
  <si>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</si>
  <si>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</si>
  <si>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</si>
  <si>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</si>
  <si>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</si>
  <si>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</si>
  <si>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</si>
  <si>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</si>
  <si>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</si>
  <si>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</si>
  <si>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</si>
  <si>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</si>
  <si>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</si>
  <si>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</si>
  <si>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</si>
  <si>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</si>
  <si>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</si>
  <si>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</si>
  <si>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</si>
  <si>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</si>
  <si>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</si>
  <si>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</si>
  <si>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</si>
  <si>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</si>
  <si>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</si>
  <si>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</si>
  <si>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</si>
  <si>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</si>
  <si>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</si>
  <si>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</si>
  <si>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</si>
  <si>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</si>
  <si>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</si>
  <si>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</si>
  <si>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</si>
  <si>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</si>
  <si>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</si>
  <si>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</si>
  <si>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</si>
  <si>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</si>
  <si>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</si>
  <si>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</si>
  <si>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</si>
  <si>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</si>
  <si>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</si>
  <si>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</si>
  <si>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</si>
  <si>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</si>
  <si>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</si>
  <si>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</si>
  <si>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</si>
  <si>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</si>
  <si>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</si>
  <si>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</si>
  <si>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</si>
  <si>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</si>
  <si>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</si>
  <si>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</si>
  <si>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</si>
  <si>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</si>
  <si>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</si>
  <si>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</si>
  <si>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</si>
  <si>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</si>
  <si>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</si>
  <si>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</si>
  <si>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</si>
  <si>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</si>
  <si>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</si>
  <si>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</si>
  <si>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</si>
  <si>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</si>
  <si>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</si>
  <si>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</si>
  <si>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</si>
  <si>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</si>
  <si>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</si>
  <si>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</si>
  <si>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</si>
  <si>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</si>
  <si>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</si>
  <si>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</si>
  <si>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</si>
  <si>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</si>
  <si>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</si>
  <si>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</si>
  <si>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</si>
  <si>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</si>
  <si>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</si>
  <si>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</si>
  <si>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</si>
  <si>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</si>
  <si>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</si>
  <si>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</si>
  <si>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</si>
  <si>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</si>
  <si>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</si>
  <si>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</si>
  <si>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</si>
  <si>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</si>
  <si>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</si>
  <si>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</si>
  <si>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</si>
  <si>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</si>
  <si>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</si>
  <si>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</si>
  <si>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</si>
  <si>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</si>
  <si>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</si>
  <si>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</si>
  <si>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</si>
  <si>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</si>
  <si>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</si>
  <si>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</si>
  <si>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</si>
  <si>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</si>
  <si>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</si>
  <si>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</si>
  <si>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</si>
  <si>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</si>
  <si>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</si>
  <si>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</si>
  <si>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</si>
  <si>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</si>
  <si>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</si>
  <si>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</si>
  <si>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</si>
  <si>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</si>
  <si>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</si>
  <si>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</si>
  <si>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</si>
  <si>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</si>
  <si>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</si>
  <si>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</si>
  <si>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</si>
  <si>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</si>
  <si>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</si>
  <si>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</si>
  <si>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</si>
  <si>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</si>
  <si>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</si>
  <si>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</si>
  <si>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</si>
  <si>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</si>
  <si>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</si>
  <si>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</si>
  <si>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</si>
  <si>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</si>
  <si>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</si>
  <si>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</si>
  <si>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</si>
  <si>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</si>
  <si>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</si>
  <si>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</si>
  <si>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</si>
  <si>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</si>
  <si>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</si>
  <si>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</si>
  <si>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</si>
  <si>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</si>
  <si>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</si>
  <si>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</si>
  <si>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</si>
  <si>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</si>
  <si>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</si>
  <si>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</si>
  <si>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</si>
  <si>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</si>
  <si>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</si>
  <si>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</si>
  <si>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</si>
  <si>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</si>
  <si>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</si>
  <si>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</si>
  <si>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</si>
  <si>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</si>
  <si>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</si>
  <si>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</si>
  <si>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</si>
  <si>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</si>
  <si>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</si>
  <si>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</si>
  <si>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</si>
  <si>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</si>
  <si>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</si>
  <si>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</si>
  <si>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</si>
  <si>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</si>
  <si>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</si>
  <si>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</si>
  <si>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</si>
  <si>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</si>
  <si>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</si>
  <si>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</si>
  <si>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</si>
  <si>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</si>
  <si>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</si>
  <si>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</si>
  <si>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</si>
  <si>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</si>
  <si>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</si>
  <si>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</si>
  <si>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</si>
  <si>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</si>
  <si>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</si>
  <si>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</si>
  <si>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</si>
  <si>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</si>
  <si>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</si>
  <si>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</si>
  <si>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</si>
  <si>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</si>
  <si>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</si>
  <si>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</si>
  <si>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</si>
  <si>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</si>
  <si>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</si>
  <si>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</si>
  <si>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</si>
  <si>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</si>
  <si>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</si>
  <si>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</si>
  <si>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</si>
  <si>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</si>
  <si>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</si>
  <si>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</si>
  <si>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</si>
  <si>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</si>
  <si>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</si>
  <si>
    <t>consumption_grants_override</t>
  </si>
  <si>
    <t>ui_override</t>
  </si>
  <si>
    <t>federal_ui_override</t>
  </si>
  <si>
    <t>state_ui_override</t>
  </si>
  <si>
    <t>add_state_non_corporate_taxes</t>
  </si>
  <si>
    <t>add_consumption_grants</t>
  </si>
  <si>
    <t>2021-03-31</t>
  </si>
  <si>
    <t>20909.9</t>
  </si>
  <si>
    <t>21115.3</t>
  </si>
  <si>
    <t>21329.9</t>
  </si>
  <si>
    <t>21540.3</t>
  </si>
  <si>
    <t>21747.4</t>
  </si>
  <si>
    <t>21561.1</t>
  </si>
  <si>
    <t>19520.1</t>
  </si>
  <si>
    <t>21170.3</t>
  </si>
  <si>
    <t>21494.7</t>
  </si>
  <si>
    <t>22061.0</t>
  </si>
  <si>
    <t>18813.9</t>
  </si>
  <si>
    <t>18950.3</t>
  </si>
  <si>
    <t>19020.6</t>
  </si>
  <si>
    <t>19141.7</t>
  </si>
  <si>
    <t>19254.0</t>
  </si>
  <si>
    <t>19010.8</t>
  </si>
  <si>
    <t>17302.5</t>
  </si>
  <si>
    <t>18596.5</t>
  </si>
  <si>
    <t>18794.4</t>
  </si>
  <si>
    <t>19088.1</t>
  </si>
  <si>
    <t>1634.2</t>
  </si>
  <si>
    <t>1695.5</t>
  </si>
  <si>
    <t>1703.1</t>
  </si>
  <si>
    <t>1713.2</t>
  </si>
  <si>
    <t>1740.2</t>
  </si>
  <si>
    <t>1756.6</t>
  </si>
  <si>
    <t>1600.1</t>
  </si>
  <si>
    <t>1685.0</t>
  </si>
  <si>
    <t>1745.6</t>
  </si>
  <si>
    <t>1757.8</t>
  </si>
  <si>
    <t>183.5</t>
  </si>
  <si>
    <t>172.1</t>
  </si>
  <si>
    <t>168.3</t>
  </si>
  <si>
    <t>175.1</t>
  </si>
  <si>
    <t>179.2</t>
  </si>
  <si>
    <t>183.8</t>
  </si>
  <si>
    <t>131.4</t>
  </si>
  <si>
    <t>144.7</t>
  </si>
  <si>
    <t>150.8</t>
  </si>
  <si>
    <t>159.8</t>
  </si>
  <si>
    <t>1355.2</t>
  </si>
  <si>
    <t>1386.7</t>
  </si>
  <si>
    <t>1392.6</t>
  </si>
  <si>
    <t>1397.2</t>
  </si>
  <si>
    <t>1411.7</t>
  </si>
  <si>
    <t>1431.2</t>
  </si>
  <si>
    <t>1369.2</t>
  </si>
  <si>
    <t>1421.4</t>
  </si>
  <si>
    <t>1461.3</t>
  </si>
  <si>
    <t>1498.6</t>
  </si>
  <si>
    <t>234.7</t>
  </si>
  <si>
    <t>213.8</t>
  </si>
  <si>
    <t>224.2</t>
  </si>
  <si>
    <t>201.6</t>
  </si>
  <si>
    <t>229.7</t>
  </si>
  <si>
    <t>180.5</t>
  </si>
  <si>
    <t>171.5</t>
  </si>
  <si>
    <t>207.0</t>
  </si>
  <si>
    <t>236.9</t>
  </si>
  <si>
    <t>250.9</t>
  </si>
  <si>
    <t>456.5</t>
  </si>
  <si>
    <t>475.2</t>
  </si>
  <si>
    <t>519.4</t>
  </si>
  <si>
    <t>483.9</t>
  </si>
  <si>
    <t>480.9</t>
  </si>
  <si>
    <t>495.8</t>
  </si>
  <si>
    <t>496.4</t>
  </si>
  <si>
    <t>506.6</t>
  </si>
  <si>
    <t>524.5</t>
  </si>
  <si>
    <t>555.0</t>
  </si>
  <si>
    <t>1295.5</t>
  </si>
  <si>
    <t>1301.6</t>
  </si>
  <si>
    <t>1312.4</t>
  </si>
  <si>
    <t>1326.5</t>
  </si>
  <si>
    <t>1330.4</t>
  </si>
  <si>
    <t>1346.2</t>
  </si>
  <si>
    <t>1264.3</t>
  </si>
  <si>
    <t>1344.5</t>
  </si>
  <si>
    <t>1360.8</t>
  </si>
  <si>
    <t>1386.2</t>
  </si>
  <si>
    <t xml:space="preserve"> 8600</t>
  </si>
  <si>
    <t xml:space="preserve"> 8932</t>
  </si>
  <si>
    <t xml:space="preserve"> 8944</t>
  </si>
  <si>
    <t xml:space="preserve"> 8604</t>
  </si>
  <si>
    <t xml:space="preserve"> 7908</t>
  </si>
  <si>
    <t xml:space="preserve"> 7020</t>
  </si>
  <si>
    <t xml:space="preserve"> 6744</t>
  </si>
  <si>
    <t xml:space="preserve"> 7248</t>
  </si>
  <si>
    <t xml:space="preserve"> 8536</t>
  </si>
  <si>
    <t>10404</t>
  </si>
  <si>
    <t>12969</t>
  </si>
  <si>
    <t>13054</t>
  </si>
  <si>
    <t>13132</t>
  </si>
  <si>
    <t>13183</t>
  </si>
  <si>
    <t>13235</t>
  </si>
  <si>
    <t>13345</t>
  </si>
  <si>
    <t>12362</t>
  </si>
  <si>
    <t>13001</t>
  </si>
  <si>
    <t>13308</t>
  </si>
  <si>
    <t>13541</t>
  </si>
  <si>
    <t>63.5</t>
  </si>
  <si>
    <t>68.5</t>
  </si>
  <si>
    <t>68.7</t>
  </si>
  <si>
    <t>69.8</t>
  </si>
  <si>
    <t>71.0</t>
  </si>
  <si>
    <t>62.7</t>
  </si>
  <si>
    <t>54.2</t>
  </si>
  <si>
    <t>90.2</t>
  </si>
  <si>
    <t>95.9</t>
  </si>
  <si>
    <t>96.6</t>
  </si>
  <si>
    <t>2220523</t>
  </si>
  <si>
    <t>2298792</t>
  </si>
  <si>
    <t>2315842</t>
  </si>
  <si>
    <t>2331428</t>
  </si>
  <si>
    <t>2347737</t>
  </si>
  <si>
    <t>2422546</t>
  </si>
  <si>
    <t>4815254</t>
  </si>
  <si>
    <t>3494888</t>
  </si>
  <si>
    <t>2918239</t>
  </si>
  <si>
    <t>5163185</t>
  </si>
  <si>
    <t>753311</t>
  </si>
  <si>
    <t>767353</t>
  </si>
  <si>
    <t>779707</t>
  </si>
  <si>
    <t>789893</t>
  </si>
  <si>
    <t>797912</t>
  </si>
  <si>
    <t>804655</t>
  </si>
  <si>
    <t>824058</t>
  </si>
  <si>
    <t>842733</t>
  </si>
  <si>
    <t>860594</t>
  </si>
  <si>
    <t>880104</t>
  </si>
  <si>
    <t>1078100</t>
  </si>
  <si>
    <t xml:space="preserve">  15600</t>
  </si>
  <si>
    <t xml:space="preserve">   5000</t>
  </si>
  <si>
    <t>1933700</t>
  </si>
  <si>
    <t xml:space="preserve">  27025</t>
  </si>
  <si>
    <t xml:space="preserve">  28029</t>
  </si>
  <si>
    <t xml:space="preserve">  27483</t>
  </si>
  <si>
    <t xml:space="preserve">  27578</t>
  </si>
  <si>
    <t xml:space="preserve">  27884</t>
  </si>
  <si>
    <t xml:space="preserve">  43429</t>
  </si>
  <si>
    <t>1084572</t>
  </si>
  <si>
    <t xml:space="preserve"> 775154</t>
  </si>
  <si>
    <t xml:space="preserve"> 296443</t>
  </si>
  <si>
    <t xml:space="preserve"> 544313</t>
  </si>
  <si>
    <t>19100</t>
  </si>
  <si>
    <t>27000</t>
  </si>
  <si>
    <t>10800</t>
  </si>
  <si>
    <t>160900</t>
  </si>
  <si>
    <t xml:space="preserve"> 58400</t>
  </si>
  <si>
    <t xml:space="preserve"> 34500</t>
  </si>
  <si>
    <t xml:space="preserve"> 43000</t>
  </si>
  <si>
    <t xml:space="preserve">  79458</t>
  </si>
  <si>
    <t xml:space="preserve">  71318</t>
  </si>
  <si>
    <t xml:space="preserve">  61083</t>
  </si>
  <si>
    <t xml:space="preserve">  81998</t>
  </si>
  <si>
    <t xml:space="preserve">  81147</t>
  </si>
  <si>
    <t xml:space="preserve">  75093</t>
  </si>
  <si>
    <t>1086548</t>
  </si>
  <si>
    <t>1213480</t>
  </si>
  <si>
    <t xml:space="preserve"> 610407</t>
  </si>
  <si>
    <t xml:space="preserve"> 405269</t>
  </si>
  <si>
    <t>609300</t>
  </si>
  <si>
    <t>865600</t>
  </si>
  <si>
    <t>260300</t>
  </si>
  <si>
    <t>184600</t>
  </si>
  <si>
    <t>63800</t>
  </si>
  <si>
    <t>15000</t>
  </si>
  <si>
    <t xml:space="preserve">  100</t>
  </si>
  <si>
    <t>38000</t>
  </si>
  <si>
    <t>73300</t>
  </si>
  <si>
    <t>140000</t>
  </si>
  <si>
    <t xml:space="preserve">  8000</t>
  </si>
  <si>
    <t xml:space="preserve"> 586475</t>
  </si>
  <si>
    <t xml:space="preserve"> 594213</t>
  </si>
  <si>
    <t xml:space="preserve"> 612547</t>
  </si>
  <si>
    <t xml:space="preserve"> 610331</t>
  </si>
  <si>
    <t xml:space="preserve"> 615406</t>
  </si>
  <si>
    <t xml:space="preserve"> 627805</t>
  </si>
  <si>
    <t>1396890</t>
  </si>
  <si>
    <t xml:space="preserve"> 728172</t>
  </si>
  <si>
    <t xml:space="preserve"> 738142</t>
  </si>
  <si>
    <t xml:space="preserve"> 785624</t>
  </si>
  <si>
    <t>1368395</t>
  </si>
  <si>
    <t>1388750</t>
  </si>
  <si>
    <t>1410626</t>
  </si>
  <si>
    <t>1429281</t>
  </si>
  <si>
    <t>1447946</t>
  </si>
  <si>
    <t>1452551</t>
  </si>
  <si>
    <t>1504782</t>
  </si>
  <si>
    <t>1487035</t>
  </si>
  <si>
    <t>1493436</t>
  </si>
  <si>
    <t>1557175</t>
  </si>
  <si>
    <t>1241599</t>
  </si>
  <si>
    <t>1245767</t>
  </si>
  <si>
    <t>1273567</t>
  </si>
  <si>
    <t>1288518</t>
  </si>
  <si>
    <t>1301120</t>
  </si>
  <si>
    <t>1306142</t>
  </si>
  <si>
    <t>1356816</t>
  </si>
  <si>
    <t>1335133</t>
  </si>
  <si>
    <t>1332160</t>
  </si>
  <si>
    <t>1376156</t>
  </si>
  <si>
    <t>389624</t>
  </si>
  <si>
    <t>404529</t>
  </si>
  <si>
    <t>419672</t>
  </si>
  <si>
    <t>418824</t>
  </si>
  <si>
    <t>411409</t>
  </si>
  <si>
    <t>423429</t>
  </si>
  <si>
    <t>512640</t>
  </si>
  <si>
    <t>486072</t>
  </si>
  <si>
    <t>512193</t>
  </si>
  <si>
    <t>523163</t>
  </si>
  <si>
    <t>728844</t>
  </si>
  <si>
    <t>738714</t>
  </si>
  <si>
    <t>755204</t>
  </si>
  <si>
    <t>763370</t>
  </si>
  <si>
    <t>760967</t>
  </si>
  <si>
    <t>767087</t>
  </si>
  <si>
    <t>812158</t>
  </si>
  <si>
    <t>828480</t>
  </si>
  <si>
    <t>827577</t>
  </si>
  <si>
    <t>840323</t>
  </si>
  <si>
    <t>589819</t>
  </si>
  <si>
    <t>599372</t>
  </si>
  <si>
    <t>614976</t>
  </si>
  <si>
    <t>622265</t>
  </si>
  <si>
    <t>619362</t>
  </si>
  <si>
    <t>624096</t>
  </si>
  <si>
    <t>668823</t>
  </si>
  <si>
    <t>683703</t>
  </si>
  <si>
    <t>682428</t>
  </si>
  <si>
    <t>694419</t>
  </si>
  <si>
    <t>1997129</t>
  </si>
  <si>
    <t>2012720</t>
  </si>
  <si>
    <t>2025477</t>
  </si>
  <si>
    <t>2028275</t>
  </si>
  <si>
    <t>2035602</t>
  </si>
  <si>
    <t>2041017</t>
  </si>
  <si>
    <t>2013139</t>
  </si>
  <si>
    <t>1993051</t>
  </si>
  <si>
    <t>1989168</t>
  </si>
  <si>
    <t>1993271</t>
  </si>
  <si>
    <t>2279638</t>
  </si>
  <si>
    <t>2292717</t>
  </si>
  <si>
    <t>2327018</t>
  </si>
  <si>
    <t>2337774</t>
  </si>
  <si>
    <t>2357385</t>
  </si>
  <si>
    <t>2381563</t>
  </si>
  <si>
    <t>2334544</t>
  </si>
  <si>
    <t>2329605</t>
  </si>
  <si>
    <t>2341726</t>
  </si>
  <si>
    <t>2389366</t>
  </si>
  <si>
    <t>21.569</t>
  </si>
  <si>
    <t>21.986</t>
  </si>
  <si>
    <t>22.076</t>
  </si>
  <si>
    <t>21.787</t>
  </si>
  <si>
    <t>21.143</t>
  </si>
  <si>
    <t>20.365</t>
  </si>
  <si>
    <t>19.106</t>
  </si>
  <si>
    <t>20.249</t>
  </si>
  <si>
    <t>21.844</t>
  </si>
  <si>
    <t>23.945</t>
  </si>
  <si>
    <t>277100</t>
  </si>
  <si>
    <t>228300</t>
  </si>
  <si>
    <t>213400</t>
  </si>
  <si>
    <t>119300</t>
  </si>
  <si>
    <t>690700</t>
  </si>
  <si>
    <t xml:space="preserve"> 39200</t>
  </si>
  <si>
    <t xml:space="preserve"> 29000</t>
  </si>
  <si>
    <t xml:space="preserve"> 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</si>
</sst>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0" fontId="3" fillId="0" borderId="0" xfId="0" applyFont="1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tabSelected="1" zoomScale="150" zoomScaleNormal="110" workbookViewId="0">
      <pane xSplit="2" ySplit="3" topLeftCell="N45" activePane="bottomRight" state="frozen"/>
      <selection pane="topRight" activeCell="C1" sqref="C1"/>
      <selection pane="bottomLeft" activeCell="A4" sqref="A4"/>
      <selection pane="bottomRight" activeCell="Q61" sqref="Q61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53" t="s">
        <v>360</v>
      </c>
      <c r="B1" s="353"/>
      <c r="C1" s="268"/>
      <c r="D1" s="268"/>
      <c r="E1" s="35"/>
      <c r="N1" t="s">
        <v>362</v>
      </c>
      <c r="AC1" s="359" t="s">
        <v>242</v>
      </c>
      <c r="AD1" s="359"/>
      <c r="AE1" s="357" t="s">
        <v>240</v>
      </c>
      <c r="AF1" s="358"/>
      <c r="AG1" t="s">
        <v>27</v>
      </c>
      <c r="AI1" s="355" t="s">
        <v>272</v>
      </c>
      <c r="AJ1" s="355"/>
      <c r="AK1" s="355"/>
      <c r="AL1" s="355"/>
      <c r="AM1" s="354" t="s">
        <v>270</v>
      </c>
      <c r="AN1" s="354"/>
      <c r="AO1" s="354"/>
      <c r="AP1" s="354"/>
    </row>
    <row r="2" spans="1:43" ht="23" customHeight="1" x14ac:dyDescent="0.2">
      <c r="F2" s="352" t="s">
        <v>20</v>
      </c>
      <c r="G2" s="352"/>
      <c r="H2" s="352"/>
      <c r="I2" s="352"/>
      <c r="J2" s="352" t="s">
        <v>9</v>
      </c>
      <c r="K2" s="352"/>
      <c r="L2" s="352"/>
      <c r="M2" s="352"/>
      <c r="N2" s="352" t="s">
        <v>10</v>
      </c>
      <c r="O2" s="352"/>
      <c r="P2" s="352"/>
      <c r="Q2" s="352"/>
      <c r="R2" s="352" t="s">
        <v>11</v>
      </c>
      <c r="S2" s="352"/>
      <c r="T2" s="352"/>
      <c r="U2" s="352"/>
      <c r="V2" s="352" t="s">
        <v>260</v>
      </c>
      <c r="W2" s="352"/>
      <c r="X2" s="352"/>
      <c r="Y2" s="352"/>
      <c r="Z2" s="221"/>
      <c r="AA2" s="283"/>
      <c r="AB2" s="221"/>
      <c r="AC2" s="352" t="s">
        <v>101</v>
      </c>
      <c r="AD2" s="352"/>
      <c r="AE2" s="352"/>
      <c r="AF2" s="352"/>
      <c r="AG2" s="352"/>
      <c r="AH2" s="352"/>
      <c r="AI2" s="352"/>
      <c r="AJ2" s="352"/>
      <c r="AK2" s="352"/>
      <c r="AL2" s="356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39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9" x14ac:dyDescent="0.25">
      <c r="A4" s="351" t="s">
        <v>256</v>
      </c>
      <c r="B4" s="351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39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254</v>
      </c>
      <c r="B5" t="s">
        <v>274</v>
      </c>
      <c r="C5" s="35" t="s">
        <v>282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 t="str">
        <f>VLOOKUP($C$5,'Haver NA'!$A$1:$J$34,10,0)</f>
        <v>21494.7</v>
      </c>
      <c r="O5" s="301" t="str">
        <f>VLOOKUP($C$5,'Haver NA'!$A$1:$K$34,11,0)</f>
        <v>22061.0</v>
      </c>
      <c r="P5">
        <f t="shared" ref="P5:Z5" si="0">O5*(1+P6)</f>
        <v>22287.153796868781</v>
      </c>
      <c r="Q5">
        <f t="shared" si="0"/>
        <v>22609.826803472628</v>
      </c>
      <c r="R5">
        <f t="shared" si="0"/>
        <v>22910.389237971893</v>
      </c>
      <c r="S5">
        <f t="shared" si="0"/>
        <v>23194.797829837673</v>
      </c>
      <c r="T5">
        <f t="shared" si="0"/>
        <v>23429.634317121945</v>
      </c>
      <c r="U5">
        <f t="shared" si="0"/>
        <v>23681.73522372076</v>
      </c>
      <c r="V5">
        <f t="shared" si="0"/>
        <v>23930.504400276415</v>
      </c>
      <c r="W5">
        <f t="shared" si="0"/>
        <v>24159.485119606059</v>
      </c>
      <c r="X5">
        <f t="shared" si="0"/>
        <v>24415.725448379704</v>
      </c>
      <c r="Y5">
        <f t="shared" si="0"/>
        <v>24685.191735809509</v>
      </c>
      <c r="Z5">
        <f t="shared" si="0"/>
        <v>24962.936867588978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1.5323353943968776E-2</v>
      </c>
      <c r="O6" s="302">
        <f t="shared" si="1"/>
        <v>2.6346029486338463E-2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255</v>
      </c>
      <c r="B7" t="s">
        <v>274</v>
      </c>
      <c r="C7" s="35" t="s">
        <v>283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 t="str">
        <f>VLOOKUP($C$7,'Haver NA'!$A$1:$J$34,10,0)</f>
        <v>18794.4</v>
      </c>
      <c r="O7" s="301" t="str">
        <f>VLOOKUP($C$7,'Haver NA'!$A$1:$K$34,11,0)</f>
        <v>19088.1</v>
      </c>
      <c r="P7">
        <f t="shared" ref="P7:Z7" si="2">O7*(1+P8)</f>
        <v>19206.272106420147</v>
      </c>
      <c r="Q7">
        <f t="shared" si="2"/>
        <v>19386.534641637325</v>
      </c>
      <c r="R7">
        <f t="shared" si="2"/>
        <v>19559.286237887121</v>
      </c>
      <c r="S7">
        <f t="shared" si="2"/>
        <v>19700.692182179708</v>
      </c>
      <c r="T7">
        <f t="shared" si="2"/>
        <v>19807.147223810738</v>
      </c>
      <c r="U7">
        <f t="shared" si="2"/>
        <v>19925.419476083789</v>
      </c>
      <c r="V7">
        <f t="shared" si="2"/>
        <v>20035.980497683657</v>
      </c>
      <c r="W7">
        <f t="shared" si="2"/>
        <v>20129.316432584998</v>
      </c>
      <c r="X7">
        <f t="shared" si="2"/>
        <v>20242.180808801531</v>
      </c>
      <c r="Y7">
        <f t="shared" si="2"/>
        <v>20363.156999102837</v>
      </c>
      <c r="Z7">
        <f t="shared" si="2"/>
        <v>20486.837127432402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1.0641787433119276E-2</v>
      </c>
      <c r="O8" s="302">
        <f t="shared" si="8"/>
        <v>1.5626995275188182E-2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O9" s="339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39"/>
      <c r="AD10" s="95"/>
      <c r="AE10" s="146"/>
      <c r="AI10" s="146"/>
      <c r="AJ10" s="146"/>
    </row>
    <row r="11" spans="1:43" x14ac:dyDescent="0.2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3395</v>
      </c>
      <c r="O11" s="340">
        <f t="shared" si="9"/>
        <v>3378.8999999999996</v>
      </c>
      <c r="P11" s="167">
        <f t="shared" si="9"/>
        <v>3411.0447999999997</v>
      </c>
      <c r="Q11" s="167">
        <f t="shared" si="9"/>
        <v>3443.6513024000001</v>
      </c>
      <c r="R11" s="167">
        <f t="shared" si="9"/>
        <v>3505.5446206719998</v>
      </c>
      <c r="S11" s="167">
        <f t="shared" si="9"/>
        <v>3545.9926648947198</v>
      </c>
      <c r="T11" s="167">
        <f t="shared" si="9"/>
        <v>3587.0608934803072</v>
      </c>
      <c r="U11" s="167">
        <f t="shared" si="9"/>
        <v>3628.7641364292158</v>
      </c>
      <c r="V11" s="167">
        <f t="shared" si="9"/>
        <v>3701.3394191578009</v>
      </c>
      <c r="W11" s="168"/>
      <c r="AD11" s="95"/>
      <c r="AE11" s="146"/>
      <c r="AI11" s="146"/>
      <c r="AJ11" s="146"/>
    </row>
    <row r="12" spans="1:43" x14ac:dyDescent="0.2">
      <c r="A12" s="211" t="s">
        <v>24</v>
      </c>
      <c r="B12" t="s">
        <v>274</v>
      </c>
      <c r="C12" t="s">
        <v>284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 t="str">
        <f>VLOOKUP($C$12,'Haver NA'!$A$1:$K$34,10,0)</f>
        <v>1745.6</v>
      </c>
      <c r="O12" s="319" t="str">
        <f>VLOOKUP($C$12,'Haver NA'!$A$1:$K$34,11,0)</f>
        <v>1757.8</v>
      </c>
      <c r="P12" s="168">
        <f t="shared" ref="P12:U12" si="11">O12*(1+P14)</f>
        <v>1771.8624</v>
      </c>
      <c r="Q12" s="168">
        <f t="shared" si="11"/>
        <v>1786.0372992</v>
      </c>
      <c r="R12" s="168">
        <f t="shared" si="11"/>
        <v>1803.8976721920001</v>
      </c>
      <c r="S12" s="168">
        <f t="shared" si="11"/>
        <v>1821.9366489139202</v>
      </c>
      <c r="T12" s="168">
        <f t="shared" si="11"/>
        <v>1840.1560154030594</v>
      </c>
      <c r="U12" s="168">
        <f t="shared" si="11"/>
        <v>1858.5575755570901</v>
      </c>
      <c r="V12" s="168">
        <f>U12*(1+V14)</f>
        <v>1895.728727068232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1778.9498496000001</v>
      </c>
      <c r="AF12" s="45">
        <f>AVERAGE(R12:U12)</f>
        <v>1831.1369780165173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365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361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25</v>
      </c>
      <c r="B15" t="s">
        <v>274</v>
      </c>
      <c r="C15" t="s">
        <v>285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 t="str">
        <f>VLOOKUP($C$15,'Haver NA'!$A$1:$J$34,10,0)</f>
        <v>150.8</v>
      </c>
      <c r="O15" s="319" t="str">
        <f>VLOOKUP($C$15,'Haver NA'!$A$1:$K$34,11,0)</f>
        <v>159.8</v>
      </c>
      <c r="P15" s="168">
        <f t="shared" ref="P15:V15" si="12">O15*(1+P17)</f>
        <v>166.19200000000001</v>
      </c>
      <c r="Q15" s="168">
        <f t="shared" si="12"/>
        <v>172.83968000000002</v>
      </c>
      <c r="R15" s="168">
        <f t="shared" si="12"/>
        <v>179.75326720000001</v>
      </c>
      <c r="S15" s="168">
        <f t="shared" si="12"/>
        <v>186.94339788800002</v>
      </c>
      <c r="T15" s="168">
        <f t="shared" si="12"/>
        <v>194.42113380352004</v>
      </c>
      <c r="U15" s="168">
        <f t="shared" si="12"/>
        <v>202.19797915566085</v>
      </c>
      <c r="V15" s="168">
        <f t="shared" si="12"/>
        <v>206.24193873877405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169.51584000000003</v>
      </c>
      <c r="AF15" s="45">
        <f>AVERAGE(R15:U15)</f>
        <v>190.82894451179524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365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39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26</v>
      </c>
      <c r="B18" t="s">
        <v>274</v>
      </c>
      <c r="C18" t="s">
        <v>286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 t="str">
        <f>VLOOKUP($C$18,'Haver NA'!$A$1:$K$34,11,0)</f>
        <v>1498.6</v>
      </c>
      <c r="O18" s="319" t="str">
        <f>VLOOKUP($C$18,'Haver NA'!$A$1:$J$34,10,0)</f>
        <v>1461.3</v>
      </c>
      <c r="P18" s="168">
        <f t="shared" ref="P18:V18" si="13">O18*(1+P20)</f>
        <v>1472.9903999999999</v>
      </c>
      <c r="Q18" s="168">
        <f t="shared" si="13"/>
        <v>1484.7743232</v>
      </c>
      <c r="R18" s="168">
        <f t="shared" si="13"/>
        <v>1521.8936812799998</v>
      </c>
      <c r="S18" s="168">
        <f t="shared" si="13"/>
        <v>1537.1126180927997</v>
      </c>
      <c r="T18" s="168">
        <f t="shared" si="13"/>
        <v>1552.4837442737278</v>
      </c>
      <c r="U18" s="168">
        <f t="shared" si="13"/>
        <v>1568.008581716465</v>
      </c>
      <c r="V18" s="168">
        <f t="shared" si="13"/>
        <v>1599.3687533507943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1478.8823616</v>
      </c>
      <c r="AF18" s="45">
        <f>AVERAGE(R18:U18)</f>
        <v>1544.8746563407481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365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274</v>
      </c>
      <c r="C21" t="s">
        <v>287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t="str">
        <f>VLOOKUP($C$21,'Haver NA'!$A$1:$K$34,11,0)</f>
        <v>250.9</v>
      </c>
      <c r="P21" s="168">
        <f t="shared" ref="P21" si="14">O21*(1+P23)</f>
        <v>254.66349999999997</v>
      </c>
      <c r="Q21" s="168">
        <f t="shared" ref="Q21" si="15">P21*(1+Q23)</f>
        <v>258.48345249999994</v>
      </c>
      <c r="R21" s="168">
        <f t="shared" ref="R21" si="16">Q21*(1+R23)</f>
        <v>273.99245964999994</v>
      </c>
      <c r="S21" s="168">
        <f t="shared" ref="S21" si="17">R21*(1+S23)</f>
        <v>290.43200722899996</v>
      </c>
      <c r="T21" s="168">
        <f t="shared" ref="T21" si="18">S21*(1+T23)</f>
        <v>307.85792766274</v>
      </c>
      <c r="U21" s="168">
        <f t="shared" ref="U21:V21" si="19">T21*(1+U23)</f>
        <v>326.32940332250439</v>
      </c>
      <c r="V21" s="168">
        <f t="shared" si="19"/>
        <v>345.90916752185467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241.77398416666665</v>
      </c>
      <c r="AF21" s="45">
        <f>AVERAGE(R21:U21)</f>
        <v>299.65294946606105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365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0</v>
      </c>
      <c r="O26" s="341">
        <f t="shared" si="20"/>
        <v>0</v>
      </c>
      <c r="P26" s="102">
        <f t="shared" si="20"/>
        <v>1957.5073583056076</v>
      </c>
      <c r="Q26" s="102">
        <f t="shared" si="20"/>
        <v>1985.8481141737871</v>
      </c>
      <c r="R26" s="102">
        <f t="shared" si="20"/>
        <v>2012.2468720647662</v>
      </c>
      <c r="S26" s="102">
        <f t="shared" si="20"/>
        <v>2037.2268186482022</v>
      </c>
      <c r="T26" s="102">
        <f t="shared" si="20"/>
        <v>2057.8527880316142</v>
      </c>
      <c r="U26" s="102">
        <f t="shared" si="20"/>
        <v>2079.9951119999637</v>
      </c>
      <c r="V26" s="102">
        <f t="shared" ref="V26" si="22">SUM(V27:V29)</f>
        <v>2101.8448061361319</v>
      </c>
    </row>
    <row r="27" spans="1:39" x14ac:dyDescent="0.2">
      <c r="A27" s="211" t="s">
        <v>21</v>
      </c>
      <c r="C27" t="s">
        <v>288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 t="str">
        <f>VLOOKUP($C$27,'Haver NA'!$A$1:$I$34,9,0)</f>
        <v>506.6</v>
      </c>
      <c r="O27" s="318" t="str">
        <f>VLOOKUP($C$27,'Haver NA'!$A$1:$K$34,11,0)</f>
        <v>555.0</v>
      </c>
      <c r="P27" s="102">
        <f t="shared" ref="P27:V29" si="23">O27*(1+P$6)</f>
        <v>560.68946816835921</v>
      </c>
      <c r="Q27" s="102">
        <f t="shared" si="23"/>
        <v>568.8071200728574</v>
      </c>
      <c r="R27" s="102">
        <f t="shared" si="23"/>
        <v>576.36852486625264</v>
      </c>
      <c r="S27" s="102">
        <f t="shared" si="23"/>
        <v>583.52353907619363</v>
      </c>
      <c r="T27" s="102">
        <f t="shared" si="23"/>
        <v>589.43144218315945</v>
      </c>
      <c r="U27" s="102">
        <f t="shared" si="23"/>
        <v>595.77367522619204</v>
      </c>
      <c r="V27" s="102">
        <f t="shared" si="23"/>
        <v>602.03209021138707</v>
      </c>
    </row>
    <row r="28" spans="1:39" x14ac:dyDescent="0.2">
      <c r="A28" s="211" t="s">
        <v>22</v>
      </c>
      <c r="C28" t="s">
        <v>289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 t="str">
        <f>VLOOKUP($C$28,'Haver NA'!$A$1:$I$34,9,0)</f>
        <v>1344.5</v>
      </c>
      <c r="O28" s="318" t="str">
        <f>VLOOKUP($C$28,'Haver NA'!$A$1:$K$34,10,0)</f>
        <v>1360.8</v>
      </c>
      <c r="P28" s="102">
        <f t="shared" si="23"/>
        <v>1374.7499608711769</v>
      </c>
      <c r="Q28" s="102">
        <f t="shared" si="23"/>
        <v>1394.6535657570168</v>
      </c>
      <c r="R28" s="102">
        <f t="shared" si="23"/>
        <v>1413.1933128612552</v>
      </c>
      <c r="S28" s="102">
        <f t="shared" si="23"/>
        <v>1430.7366341889808</v>
      </c>
      <c r="T28" s="102">
        <f t="shared" si="23"/>
        <v>1445.2221739150332</v>
      </c>
      <c r="U28" s="102">
        <f t="shared" si="23"/>
        <v>1460.7726436897337</v>
      </c>
      <c r="V28" s="102">
        <f t="shared" si="23"/>
        <v>1476.1176006480282</v>
      </c>
    </row>
    <row r="29" spans="1:39" x14ac:dyDescent="0.2">
      <c r="A29" s="211" t="s">
        <v>23</v>
      </c>
      <c r="C29" t="s">
        <v>290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 t="str">
        <f>VLOOKUP($C$29,'Haver NA'!$A$1:$J$34,10,0)</f>
        <v>21.844</v>
      </c>
      <c r="O29" s="318" t="str">
        <f>VLOOKUP($C$29,'Haver NA'!$A$1:$K$34,10,0)</f>
        <v>21.844</v>
      </c>
      <c r="P29" s="102">
        <f t="shared" si="23"/>
        <v>22.06792926607142</v>
      </c>
      <c r="Q29" s="102">
        <f t="shared" si="23"/>
        <v>22.387428343912607</v>
      </c>
      <c r="R29" s="102">
        <f t="shared" si="23"/>
        <v>22.685034337258418</v>
      </c>
      <c r="S29" s="102">
        <f t="shared" si="23"/>
        <v>22.9666453830277</v>
      </c>
      <c r="T29" s="102">
        <f t="shared" si="23"/>
        <v>23.199171933421503</v>
      </c>
      <c r="U29" s="102">
        <f t="shared" si="23"/>
        <v>23.448793084037728</v>
      </c>
      <c r="V29" s="102">
        <f t="shared" si="23"/>
        <v>23.695115276716287</v>
      </c>
    </row>
    <row r="30" spans="1:39" x14ac:dyDescent="0.2">
      <c r="A30" s="176" t="s">
        <v>0</v>
      </c>
      <c r="C30" t="s">
        <v>291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 t="shared" ref="N30:V30" si="24">M30*(1+N6)</f>
        <v>91.58216652574599</v>
      </c>
      <c r="O30" s="341">
        <f t="shared" si="24"/>
        <v>93.994992985456051</v>
      </c>
      <c r="P30" s="102">
        <f t="shared" si="24"/>
        <v>94.958563292800008</v>
      </c>
      <c r="Q30" s="102">
        <f t="shared" si="24"/>
        <v>96.333371642028268</v>
      </c>
      <c r="R30" s="102">
        <f t="shared" si="24"/>
        <v>97.613973787101031</v>
      </c>
      <c r="S30" s="102">
        <f t="shared" si="24"/>
        <v>98.825749481649211</v>
      </c>
      <c r="T30" s="102">
        <f t="shared" si="24"/>
        <v>99.826314006150113</v>
      </c>
      <c r="U30" s="102">
        <f t="shared" si="24"/>
        <v>100.90043679964917</v>
      </c>
      <c r="V30" s="102">
        <f t="shared" si="24"/>
        <v>101.96036413772752</v>
      </c>
    </row>
    <row r="31" spans="1:39" s="185" customFormat="1" ht="12" x14ac:dyDescent="0.15">
      <c r="A31" s="177" t="s">
        <v>259</v>
      </c>
      <c r="F31" s="209">
        <f t="shared" ref="F31:L31" si="25">F30/F21</f>
        <v>0.27055815935236471</v>
      </c>
      <c r="G31" s="209">
        <f t="shared" si="25"/>
        <v>0.32039289055191766</v>
      </c>
      <c r="H31" s="209">
        <f t="shared" si="25"/>
        <v>0.30642283675289922</v>
      </c>
      <c r="I31" s="209">
        <f t="shared" si="25"/>
        <v>0.34623015873015872</v>
      </c>
      <c r="J31" s="209">
        <f t="shared" si="25"/>
        <v>0.30909882455376581</v>
      </c>
      <c r="K31" s="209">
        <f t="shared" si="25"/>
        <v>0.3473684210526316</v>
      </c>
      <c r="L31" s="209">
        <f t="shared" si="25"/>
        <v>0.31603498542274056</v>
      </c>
      <c r="M31" s="209">
        <v>0.43574879227053143</v>
      </c>
      <c r="N31" s="209">
        <f>N30/N21</f>
        <v>0.43163504901965827</v>
      </c>
      <c r="O31" s="342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A33" t="s">
        <v>393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274</v>
      </c>
      <c r="C34" t="s">
        <v>292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 t="str">
        <f>VLOOKUP($C$34,'Haver NA'!$A$1:$J$34,10,0)</f>
        <v>2918239</v>
      </c>
      <c r="O34" s="303" t="str">
        <f>VLOOKUP($C$34,'Haver NA'!$A$1:$K$34,11,0)</f>
        <v>5163185</v>
      </c>
      <c r="P34" s="133">
        <f t="shared" ref="P34:U34" si="26">P35+P40+P50</f>
        <v>2749476.0727414312</v>
      </c>
      <c r="Q34" s="133">
        <f t="shared" si="26"/>
        <v>2651823.3912212253</v>
      </c>
      <c r="R34" s="133">
        <f t="shared" si="26"/>
        <v>2719329.4377647843</v>
      </c>
      <c r="S34" s="133">
        <f t="shared" si="26"/>
        <v>2776596.3725474421</v>
      </c>
      <c r="T34" s="133">
        <f t="shared" si="26"/>
        <v>2835282.6832986092</v>
      </c>
      <c r="U34" s="133">
        <f t="shared" si="26"/>
        <v>2895427.984567659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ht="16" x14ac:dyDescent="0.2">
      <c r="A35" s="86" t="s">
        <v>3</v>
      </c>
      <c r="B35" t="s">
        <v>274</v>
      </c>
      <c r="C35" t="s">
        <v>293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 t="str">
        <f>VLOOKUP($C$35,'Haver NA'!$A$1:$J$34,10,0)</f>
        <v>860594</v>
      </c>
      <c r="O35" s="303" t="str">
        <f>VLOOKUP($C$35,'Haver NA'!$A$1:$K$34,11,0)</f>
        <v>880104</v>
      </c>
      <c r="P35" s="87">
        <f>O35*((($AJ$35/$AI$35)^0.25))+12000</f>
        <v>902881.83575393062</v>
      </c>
      <c r="Q35" s="87">
        <f>P35*((($AJ$35/$AI$35)^0.25))+12000</f>
        <v>925938.6110111312</v>
      </c>
      <c r="R35" s="87">
        <f>Q35*((($AK$35/$AJ$35)^0.25))+12000</f>
        <v>968216.38585153921</v>
      </c>
      <c r="S35" s="87">
        <f>R35*((($AK$35/$AJ$35)^0.25))</f>
        <v>999876.62485549843</v>
      </c>
      <c r="T35" s="87">
        <f>S35*((($AK$35/$AJ$35)^0.25))</f>
        <v>1032572.1393912865</v>
      </c>
      <c r="U35" s="87">
        <f>T35*((($AK$35/$AJ$35)^0.25))</f>
        <v>1066336.7825017269</v>
      </c>
      <c r="V35" s="87">
        <f>U35*((($AL$35/$AK$35)^0.25))</f>
        <v>1077082.3559680069</v>
      </c>
      <c r="W35" s="87">
        <f>V35*((($AL$35/$AK$35)^0.25))</f>
        <v>1087936.2135627293</v>
      </c>
      <c r="X35" s="87">
        <f>W35*((($AL$35/$AK$35)^0.25))</f>
        <v>1098899.4464749785</v>
      </c>
      <c r="Y35" s="87">
        <f>X35*((($AL$35/$AK$35)^0.25))</f>
        <v>1109973.1568898512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914.41022338253094</v>
      </c>
      <c r="AF35" s="45">
        <f>AVERAGE(R35:U35)/1000</f>
        <v>1016.7504831500127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ht="16" x14ac:dyDescent="0.2">
      <c r="A36" s="93" t="s">
        <v>329</v>
      </c>
      <c r="B36" t="s">
        <v>274</v>
      </c>
      <c r="C36" t="s">
        <v>294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43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330</v>
      </c>
      <c r="F37" s="202"/>
      <c r="G37" s="202"/>
      <c r="H37" s="202"/>
      <c r="I37" s="202"/>
      <c r="J37" s="202"/>
      <c r="K37" s="202"/>
      <c r="L37" s="202"/>
      <c r="M37" s="301"/>
      <c r="N37" s="315" t="str">
        <f>VLOOKUP($C$36,'Haver NA'!$A$1:$J$34,10,0)</f>
        <v xml:space="preserve">   5000</v>
      </c>
      <c r="O37" s="343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337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43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43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332343</v>
      </c>
      <c r="O40" s="343">
        <f t="shared" ref="O40:V40" si="27">O42+O46</f>
        <v>724000</v>
      </c>
      <c r="P40" s="87">
        <f t="shared" si="27"/>
        <v>152000</v>
      </c>
      <c r="Q40" s="87">
        <f t="shared" si="27"/>
        <v>44000</v>
      </c>
      <c r="R40" s="87">
        <f t="shared" si="27"/>
        <v>44000</v>
      </c>
      <c r="S40" s="87">
        <f t="shared" si="27"/>
        <v>44000</v>
      </c>
      <c r="T40" s="87">
        <f t="shared" si="27"/>
        <v>44000</v>
      </c>
      <c r="U40" s="87">
        <f t="shared" si="27"/>
        <v>44000</v>
      </c>
      <c r="V40" s="87">
        <f t="shared" si="27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313.08575000000002</v>
      </c>
      <c r="AF40" s="45">
        <f t="shared" ref="AF40:AF50" si="28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323</v>
      </c>
      <c r="B41" t="s">
        <v>274</v>
      </c>
      <c r="C41" t="s">
        <v>295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 t="str">
        <f>VLOOKUP($C$41,'Haver NA'!$A$1:$J$34,10,0)</f>
        <v xml:space="preserve"> 296443</v>
      </c>
      <c r="O41" s="303" t="str">
        <f>VLOOKUP($C$41,'Haver NA'!$A$1:$K$34,11,0)</f>
        <v xml:space="preserve"> 544313</v>
      </c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43">
        <f>SUM(O43:O45)</f>
        <v>664000</v>
      </c>
      <c r="P42" s="87">
        <f>SUM(P43:P45)</f>
        <v>108000</v>
      </c>
      <c r="Q42" s="87">
        <f t="shared" ref="Q42" si="29">Q43+Q44+Q45</f>
        <v>0</v>
      </c>
      <c r="R42" s="87">
        <f t="shared" ref="R42" si="30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43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28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43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335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43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43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28"/>
        <v>44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34.950000000000003</v>
      </c>
      <c r="AF47" s="331">
        <f t="shared" ref="AF47" si="31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202</v>
      </c>
      <c r="B48" s="107" t="s">
        <v>274</v>
      </c>
      <c r="C48" s="107" t="s">
        <v>296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 t="str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371</v>
      </c>
      <c r="B49" s="107" t="s">
        <v>274</v>
      </c>
      <c r="C49" s="107" t="s">
        <v>297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 t="str">
        <f>VLOOKUP($C$49,'Haver NA'!$A$1:$J$34,10,0)</f>
        <v xml:space="preserve"> 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32" x14ac:dyDescent="0.2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1720302</v>
      </c>
      <c r="O50" s="298">
        <f>N50*(1+O52)</f>
        <v>1707399.7350000001</v>
      </c>
      <c r="P50" s="88">
        <f t="shared" ref="P50:Q50" si="32">O50*(1+P52)</f>
        <v>1694594.2369875002</v>
      </c>
      <c r="Q50" s="88">
        <f t="shared" si="32"/>
        <v>1681884.7802100941</v>
      </c>
      <c r="R50" s="88">
        <f>Q50*(1+R52)</f>
        <v>1707113.0519132453</v>
      </c>
      <c r="S50" s="88">
        <f t="shared" ref="S50:U50" si="33">R50*(1+S52)</f>
        <v>1732719.7476919438</v>
      </c>
      <c r="T50" s="88">
        <f t="shared" si="33"/>
        <v>1758710.5439073227</v>
      </c>
      <c r="U50" s="88">
        <f t="shared" si="33"/>
        <v>1785091.2020659323</v>
      </c>
      <c r="V50" s="88">
        <f>U50*(1+V52)</f>
        <v>1802942.1140865916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1701.0451880493988</v>
      </c>
      <c r="AF50" s="45">
        <f t="shared" si="28"/>
        <v>1745.908636394611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4">H50/G50-1</f>
        <v>3.4867401440725754E-3</v>
      </c>
      <c r="I51" s="227">
        <f t="shared" si="34"/>
        <v>3.5163841628156334E-3</v>
      </c>
      <c r="J51" s="227">
        <f t="shared" si="34"/>
        <v>5.2735975988749129E-3</v>
      </c>
      <c r="K51" s="227">
        <f t="shared" si="34"/>
        <v>3.4509222105193249E-2</v>
      </c>
      <c r="L51" s="227">
        <f t="shared" si="34"/>
        <v>4.7166587697893059E-2</v>
      </c>
      <c r="M51" s="227">
        <v>1.2783825552366457E-2</v>
      </c>
      <c r="N51" s="227">
        <f t="shared" ref="N51" si="35">N50/M50-1</f>
        <v>3.0243723653297527E-2</v>
      </c>
      <c r="O51" s="344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45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274</v>
      </c>
      <c r="C54" t="s">
        <v>298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 t="str">
        <f>VLOOKUP($C$54,'Haver NA'!$A$1:$J$34,10,0)</f>
        <v xml:space="preserve"> 610407</v>
      </c>
      <c r="O54" s="308" t="str">
        <f>VLOOKUP($C$54,'Haver NA'!$A$1:$K$34,11,0)</f>
        <v xml:space="preserve"> 405269</v>
      </c>
      <c r="P54" s="144">
        <f t="shared" ref="P54:Z54" si="36">P55+AVERAGE($H$54:$K$54)</f>
        <v>847383.58333333337</v>
      </c>
      <c r="Q54" s="144">
        <f t="shared" si="36"/>
        <v>757416.91666666663</v>
      </c>
      <c r="R54" s="144">
        <f t="shared" si="36"/>
        <v>102750.25</v>
      </c>
      <c r="S54" s="144">
        <f t="shared" si="36"/>
        <v>77330.25</v>
      </c>
      <c r="T54" s="144">
        <f t="shared" si="36"/>
        <v>77330.25</v>
      </c>
      <c r="U54" s="144">
        <f t="shared" si="36"/>
        <v>77330.25</v>
      </c>
      <c r="V54" s="144">
        <f t="shared" si="36"/>
        <v>77330.25</v>
      </c>
      <c r="W54" s="144">
        <f t="shared" si="36"/>
        <v>74830.25</v>
      </c>
      <c r="X54" s="144">
        <f t="shared" si="36"/>
        <v>74830.25</v>
      </c>
      <c r="Y54" s="144">
        <f t="shared" si="36"/>
        <v>74830.25</v>
      </c>
      <c r="Z54" s="144">
        <f t="shared" si="36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7">N57+N58+N63</f>
        <v>260300</v>
      </c>
      <c r="O55" s="299">
        <f>O57+O58+SUM(O63:O66)</f>
        <v>323820</v>
      </c>
      <c r="P55" s="116">
        <f>P57+P58+SUM(P63:P66)</f>
        <v>772553.33333333337</v>
      </c>
      <c r="Q55" s="116">
        <f t="shared" ref="P55:V55" si="38">Q57+Q58+SUM(Q63:Q66)</f>
        <v>682586.66666666663</v>
      </c>
      <c r="R55" s="116">
        <f t="shared" si="38"/>
        <v>27920</v>
      </c>
      <c r="S55" s="116">
        <f t="shared" si="38"/>
        <v>2500</v>
      </c>
      <c r="T55" s="116">
        <f t="shared" si="38"/>
        <v>2500</v>
      </c>
      <c r="U55" s="116">
        <f t="shared" si="38"/>
        <v>2500</v>
      </c>
      <c r="V55" s="116">
        <f t="shared" si="38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327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325</v>
      </c>
      <c r="C57" t="s">
        <v>299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 t="str">
        <f>VLOOKUP($C$57,'Haver NA'!$A$1:$J$34,10,0)</f>
        <v>260300</v>
      </c>
      <c r="O57" s="308" t="str">
        <f>VLOOKUP($C$57,'Haver NA'!$A$1:$K$34,11,0)</f>
        <v>184600</v>
      </c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266</v>
      </c>
      <c r="C58" t="s">
        <v>324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0</v>
      </c>
      <c r="O58" s="299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275</v>
      </c>
      <c r="B59" s="185" t="s">
        <v>274</v>
      </c>
      <c r="C59" t="s">
        <v>300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 t="str">
        <f>VLOOKUP($C$59,'Haver NA'!$A$1:$J$34,10,0)</f>
        <v xml:space="preserve">  100</v>
      </c>
      <c r="O59" s="309" t="str">
        <f>VLOOKUP($C$59,'Haver NA'!$A$1:$K$34,11,0)</f>
        <v>38000</v>
      </c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276</v>
      </c>
      <c r="B60" s="185" t="s">
        <v>274</v>
      </c>
      <c r="C60" t="s">
        <v>301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 t="str">
        <f>VLOOKUP($C$60,'Haver NA'!$A$1:$J$34,10,0)</f>
        <v>73300</v>
      </c>
      <c r="O60" s="309" t="str">
        <f>VLOOKUP($C$60,'Haver NA'!$A$1:$K$34,11,0)</f>
        <v>73300</v>
      </c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277</v>
      </c>
      <c r="B61" s="185" t="s">
        <v>274</v>
      </c>
      <c r="C61" t="s">
        <v>302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 t="str">
        <f>VLOOKUP($C$61,'Haver NA'!$A$1:$J$34,10,0)</f>
        <v>140000</v>
      </c>
      <c r="O61" s="309" t="str">
        <f>VLOOKUP($C$61,'Haver NA'!$A$1:$K$34,11,0)</f>
        <v xml:space="preserve">  8000</v>
      </c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328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46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326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/>
      <c r="P63" s="299">
        <f>'Stimulus Round 2'!$C$2*4/2 -P48</f>
        <v>650000</v>
      </c>
      <c r="Q63" s="299">
        <f>'Stimulus Round 2'!$C$2*4/2 -Q48</f>
        <v>650000</v>
      </c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387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276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274</v>
      </c>
      <c r="C68" t="s">
        <v>303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 t="str">
        <f>VLOOKUP($C$68,'Haver NA'!$A$1:$J$34,10,0)</f>
        <v xml:space="preserve"> 738142</v>
      </c>
      <c r="O68" s="308" t="str">
        <f>VLOOKUP($C$68,'Haver NA'!$A$1:$K$34,11,0)</f>
        <v xml:space="preserve"> 785624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222</v>
      </c>
      <c r="F70" s="203">
        <f t="shared" ref="F70:L70" si="39">F68-F93</f>
        <v>196851</v>
      </c>
      <c r="G70" s="203">
        <f t="shared" si="39"/>
        <v>189684</v>
      </c>
      <c r="H70" s="203">
        <f t="shared" si="39"/>
        <v>192875</v>
      </c>
      <c r="I70" s="203">
        <f t="shared" si="39"/>
        <v>191507</v>
      </c>
      <c r="J70" s="203">
        <f t="shared" si="39"/>
        <v>203997</v>
      </c>
      <c r="K70" s="203">
        <f t="shared" si="39"/>
        <v>204376</v>
      </c>
      <c r="L70" s="203">
        <f t="shared" si="39"/>
        <v>884250</v>
      </c>
      <c r="M70" s="301">
        <v>242100</v>
      </c>
      <c r="N70" s="308">
        <f>N68-N93</f>
        <v>225949</v>
      </c>
      <c r="O70" s="308">
        <f>O68-O93</f>
        <v>262461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196949</v>
      </c>
      <c r="O71" s="299">
        <f t="shared" ref="O71:Z71" si="40">N71*(1+O87)</f>
        <v>197736.796</v>
      </c>
      <c r="P71" s="116">
        <f t="shared" si="40"/>
        <v>198527.74318399999</v>
      </c>
      <c r="Q71" s="116">
        <f t="shared" si="40"/>
        <v>199321.85415673599</v>
      </c>
      <c r="R71" s="116">
        <f t="shared" si="40"/>
        <v>200119.14157336293</v>
      </c>
      <c r="S71" s="116">
        <f t="shared" si="40"/>
        <v>200919.61813965638</v>
      </c>
      <c r="T71" s="116">
        <f t="shared" si="40"/>
        <v>201723.296612215</v>
      </c>
      <c r="U71" s="116">
        <f t="shared" si="40"/>
        <v>202530.18979866387</v>
      </c>
      <c r="V71" s="116">
        <f t="shared" si="40"/>
        <v>203340.31055785852</v>
      </c>
      <c r="W71" s="116">
        <f t="shared" si="40"/>
        <v>204153.67180008997</v>
      </c>
      <c r="X71" s="116">
        <f t="shared" si="40"/>
        <v>204970.28648729034</v>
      </c>
      <c r="Y71" s="116">
        <f t="shared" si="40"/>
        <v>205790.1676332395</v>
      </c>
      <c r="Z71" s="116">
        <f t="shared" si="40"/>
        <v>206613.32830377246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205</v>
      </c>
      <c r="B72" s="138" t="s">
        <v>274</v>
      </c>
      <c r="C72" t="s">
        <v>304</v>
      </c>
      <c r="D72"/>
      <c r="F72" s="204"/>
      <c r="G72" s="204"/>
      <c r="H72" s="204"/>
      <c r="I72" s="205"/>
      <c r="J72" s="205"/>
      <c r="K72" s="205"/>
      <c r="L72" s="205" t="str">
        <f>'Haver NA'!H34</f>
        <v>690700</v>
      </c>
      <c r="M72" s="205" t="str">
        <f>'Haver NA'!I34</f>
        <v xml:space="preserve"> 39200</v>
      </c>
      <c r="N72" s="205" t="str">
        <f>VLOOKUP($C$72,'Haver NA'!$A$1:$J$34,10,0)</f>
        <v xml:space="preserve"> 29000</v>
      </c>
      <c r="O72" s="205" t="str">
        <f>VLOOKUP($C$72,'Haver NA'!$A$1:$J$34,10,0)</f>
        <v xml:space="preserve"> 29000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372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41">O74+O78</f>
        <v>124900</v>
      </c>
      <c r="P73" s="116">
        <f t="shared" si="41"/>
        <v>126000</v>
      </c>
      <c r="Q73" s="116">
        <f t="shared" si="41"/>
        <v>120000</v>
      </c>
      <c r="R73" s="116">
        <f t="shared" si="41"/>
        <v>119000</v>
      </c>
      <c r="S73" s="116">
        <f t="shared" si="41"/>
        <v>109000</v>
      </c>
      <c r="T73" s="116">
        <f t="shared" si="41"/>
        <v>109000</v>
      </c>
      <c r="U73" s="116">
        <f t="shared" si="41"/>
        <v>109000</v>
      </c>
      <c r="V73" s="116">
        <f t="shared" si="41"/>
        <v>109000</v>
      </c>
      <c r="W73" s="116">
        <f t="shared" si="41"/>
        <v>109000</v>
      </c>
      <c r="X73" s="116">
        <f t="shared" si="41"/>
        <v>69000</v>
      </c>
      <c r="Y73" s="116">
        <f t="shared" si="41"/>
        <v>59000</v>
      </c>
      <c r="Z73" s="116">
        <f t="shared" si="41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331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42">SUM(O75:O77)</f>
        <v>72900</v>
      </c>
      <c r="P74" s="116">
        <f t="shared" si="42"/>
        <v>67000</v>
      </c>
      <c r="Q74" s="116">
        <f t="shared" si="42"/>
        <v>61000</v>
      </c>
      <c r="R74" s="116">
        <f t="shared" si="42"/>
        <v>60000</v>
      </c>
      <c r="S74" s="116">
        <f t="shared" si="42"/>
        <v>50000</v>
      </c>
      <c r="T74" s="116">
        <f t="shared" si="42"/>
        <v>50000</v>
      </c>
      <c r="U74" s="116">
        <f t="shared" si="42"/>
        <v>50000</v>
      </c>
      <c r="V74" s="116">
        <f t="shared" si="42"/>
        <v>50000</v>
      </c>
      <c r="W74" s="116">
        <f t="shared" si="42"/>
        <v>50000</v>
      </c>
      <c r="X74" s="116">
        <f t="shared" si="42"/>
        <v>10000</v>
      </c>
      <c r="Y74" s="116">
        <f t="shared" si="42"/>
        <v>0</v>
      </c>
      <c r="Z74" s="116">
        <f t="shared" si="42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195</v>
      </c>
      <c r="B75" s="35" t="s">
        <v>274</v>
      </c>
      <c r="C75" s="35" t="s">
        <v>366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2">
      <c r="A76" s="334" t="s">
        <v>370</v>
      </c>
      <c r="B76" s="107" t="s">
        <v>274</v>
      </c>
      <c r="C76" s="107" t="s">
        <v>367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2">
      <c r="A77" s="334" t="s">
        <v>199</v>
      </c>
      <c r="B77" s="107" t="s">
        <v>274</v>
      </c>
      <c r="C77" s="107" t="s">
        <v>368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2">
      <c r="A78" s="220" t="s">
        <v>332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3">SUM(P79:P82)</f>
        <v>59000</v>
      </c>
      <c r="Q78" s="116">
        <f t="shared" si="43"/>
        <v>59000</v>
      </c>
      <c r="R78" s="116">
        <f t="shared" si="43"/>
        <v>59000</v>
      </c>
      <c r="S78" s="116">
        <f t="shared" si="43"/>
        <v>59000</v>
      </c>
      <c r="T78" s="116">
        <f t="shared" si="43"/>
        <v>59000</v>
      </c>
      <c r="U78" s="116">
        <f t="shared" si="43"/>
        <v>59000</v>
      </c>
      <c r="V78" s="116">
        <f t="shared" si="43"/>
        <v>59000</v>
      </c>
      <c r="W78" s="116">
        <f t="shared" si="43"/>
        <v>59000</v>
      </c>
      <c r="X78" s="116">
        <f t="shared" si="43"/>
        <v>59000</v>
      </c>
      <c r="Y78" s="116">
        <f t="shared" si="43"/>
        <v>59000</v>
      </c>
      <c r="Z78" s="116">
        <f t="shared" si="43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333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334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338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339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4">L71+L73</f>
        <v>283950</v>
      </c>
      <c r="M83" s="206">
        <f t="shared" si="44"/>
        <v>291400</v>
      </c>
      <c r="N83" s="308">
        <f t="shared" si="44"/>
        <v>294149</v>
      </c>
      <c r="O83" s="299">
        <f t="shared" si="44"/>
        <v>322636.79599999997</v>
      </c>
      <c r="P83" s="144">
        <f t="shared" si="44"/>
        <v>324527.74318400002</v>
      </c>
      <c r="Q83" s="144">
        <f t="shared" si="44"/>
        <v>319321.85415673599</v>
      </c>
      <c r="R83" s="144">
        <f t="shared" si="44"/>
        <v>319119.14157336293</v>
      </c>
      <c r="S83" s="144">
        <f t="shared" si="44"/>
        <v>309919.61813965638</v>
      </c>
      <c r="T83" s="144">
        <f t="shared" si="44"/>
        <v>310723.296612215</v>
      </c>
      <c r="U83" s="144">
        <f t="shared" si="44"/>
        <v>311530.18979866384</v>
      </c>
      <c r="V83" s="144">
        <f t="shared" si="44"/>
        <v>312340.31055785855</v>
      </c>
      <c r="W83" s="144">
        <f t="shared" si="44"/>
        <v>313153.67180009</v>
      </c>
      <c r="X83" s="144">
        <f t="shared" si="44"/>
        <v>273970.28648729034</v>
      </c>
      <c r="Y83" s="144">
        <f t="shared" si="44"/>
        <v>264790.16763323953</v>
      </c>
      <c r="Z83" s="144">
        <f t="shared" si="44"/>
        <v>265613.32830377249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347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274</v>
      </c>
      <c r="C85" t="s">
        <v>305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1332.16</v>
      </c>
      <c r="O85" s="308">
        <f>VLOOKUP($C$85,'Haver NA'!$A$1:$K$34,11,0)/1000</f>
        <v>1376.1559999999999</v>
      </c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201</v>
      </c>
      <c r="B86" s="35" t="s">
        <v>274</v>
      </c>
      <c r="C86" t="s">
        <v>306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1493.4359999999999</v>
      </c>
      <c r="O86" s="301">
        <f>VLOOKUP($C$86,'Haver NA'!$A$1:$K$34,11,0)/1000</f>
        <v>1557.175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369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-2.2267444516763657E-3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4.3045388978737442E-3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388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41">
        <f>SUM(O90:O92)</f>
        <v>71400</v>
      </c>
      <c r="P89" s="102">
        <f t="shared" ref="P89:R89" si="45">SUM(P90:P92)</f>
        <v>71400</v>
      </c>
      <c r="Q89" s="102">
        <f t="shared" si="45"/>
        <v>30600</v>
      </c>
      <c r="R89" s="102">
        <f t="shared" si="45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342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343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344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389</v>
      </c>
      <c r="B93" s="35" t="s">
        <v>274</v>
      </c>
      <c r="C93" t="s">
        <v>307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 t="str">
        <f>VLOOKUP($C$93,'Haver NA'!$A$1:$J$34,10,0)</f>
        <v>512193</v>
      </c>
      <c r="O93" s="308" t="str">
        <f>VLOOKUP($C$93,'Haver NA'!$A$1:$K$34,11,0)</f>
        <v>523163</v>
      </c>
      <c r="P93" s="116">
        <f t="shared" ref="P93:S93" si="46">P100*0.74</f>
        <v>518997.92154021468</v>
      </c>
      <c r="Q93" s="116">
        <f t="shared" si="46"/>
        <v>518997.92154021468</v>
      </c>
      <c r="R93" s="116">
        <f t="shared" si="46"/>
        <v>518997.92154021468</v>
      </c>
      <c r="S93" s="116">
        <f t="shared" si="46"/>
        <v>518997.92154021468</v>
      </c>
      <c r="T93" s="116">
        <f>T100*0.68</f>
        <v>476917.00898290001</v>
      </c>
      <c r="U93" s="116">
        <f>U100*0.68</f>
        <v>476917.00898290001</v>
      </c>
      <c r="V93" s="116">
        <f>V100*0.68</f>
        <v>476917.00898290001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518997.92154021468</v>
      </c>
      <c r="AF93" s="45">
        <f>AVERAGE(R93:U93)</f>
        <v>497957.46526155737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160</v>
      </c>
      <c r="B94" s="141"/>
      <c r="E94" s="141"/>
      <c r="F94" s="201">
        <f t="shared" ref="F94:L94" si="47">F50+F47+F36+F42</f>
        <v>1440187</v>
      </c>
      <c r="G94" s="201">
        <f t="shared" si="47"/>
        <v>1503410</v>
      </c>
      <c r="H94" s="201">
        <f t="shared" si="47"/>
        <v>1508652</v>
      </c>
      <c r="I94" s="201">
        <f t="shared" si="47"/>
        <v>1513957</v>
      </c>
      <c r="J94" s="201">
        <f t="shared" si="47"/>
        <v>1521941</v>
      </c>
      <c r="K94" s="201">
        <f t="shared" si="47"/>
        <v>1574462</v>
      </c>
      <c r="L94" s="201">
        <f t="shared" si="47"/>
        <v>3729557.333333333</v>
      </c>
      <c r="M94" s="301">
        <v>2466001</v>
      </c>
      <c r="N94" s="306">
        <f>N50+N47+N36+N42+N37</f>
        <v>2026902</v>
      </c>
      <c r="O94" s="298">
        <f t="shared" ref="O94:Z94" si="48">O50+O47+O36+O42+O37+O38+O39</f>
        <v>3162199.7350000003</v>
      </c>
      <c r="P94" s="142">
        <f t="shared" si="48"/>
        <v>1918594.2369875002</v>
      </c>
      <c r="Q94" s="142">
        <f t="shared" si="48"/>
        <v>1729884.7802100941</v>
      </c>
      <c r="R94" s="142">
        <f t="shared" si="48"/>
        <v>1727113.0519132453</v>
      </c>
      <c r="S94" s="142">
        <f t="shared" si="48"/>
        <v>1732719.7476919438</v>
      </c>
      <c r="T94" s="142">
        <f t="shared" si="48"/>
        <v>1758710.5439073227</v>
      </c>
      <c r="U94" s="142">
        <f t="shared" si="48"/>
        <v>1785091.2020659323</v>
      </c>
      <c r="V94" s="142">
        <f t="shared" si="48"/>
        <v>1802942.1140865916</v>
      </c>
      <c r="W94" s="142">
        <f t="shared" si="48"/>
        <v>0</v>
      </c>
      <c r="X94" s="142">
        <f t="shared" si="48"/>
        <v>0</v>
      </c>
      <c r="Y94" s="142">
        <f t="shared" si="48"/>
        <v>0</v>
      </c>
      <c r="Z94" s="142">
        <f t="shared" si="48"/>
        <v>0</v>
      </c>
      <c r="AM94" s="233"/>
    </row>
    <row r="95" spans="1:39" s="35" customFormat="1" x14ac:dyDescent="0.2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9">N93+N35</f>
        <v>1372787</v>
      </c>
      <c r="O95" s="347">
        <f t="shared" si="49"/>
        <v>1403267</v>
      </c>
      <c r="P95" s="143">
        <f>P93+P35</f>
        <v>1421879.7572941454</v>
      </c>
      <c r="Q95" s="143">
        <f t="shared" si="49"/>
        <v>1444936.5325513459</v>
      </c>
      <c r="R95" s="143">
        <f t="shared" si="49"/>
        <v>1487214.3073917539</v>
      </c>
      <c r="S95" s="143">
        <f t="shared" si="49"/>
        <v>1518874.546395713</v>
      </c>
      <c r="T95" s="143">
        <f t="shared" si="49"/>
        <v>1509489.1483741866</v>
      </c>
      <c r="U95" s="143">
        <f t="shared" si="49"/>
        <v>1543253.7914846269</v>
      </c>
      <c r="V95" s="143">
        <f t="shared" si="49"/>
        <v>1553999.364950907</v>
      </c>
      <c r="W95" s="143">
        <f t="shared" si="49"/>
        <v>1087936.2135627293</v>
      </c>
      <c r="X95" s="143">
        <f t="shared" si="49"/>
        <v>1098899.4464749785</v>
      </c>
      <c r="Y95" s="143">
        <f t="shared" si="49"/>
        <v>1109973.1568898512</v>
      </c>
      <c r="Z95" s="143">
        <f t="shared" si="49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O96" s="339"/>
      <c r="AM96" s="233"/>
    </row>
    <row r="97" spans="1:39" s="35" customFormat="1" x14ac:dyDescent="0.2">
      <c r="A97" s="35" t="s">
        <v>15</v>
      </c>
      <c r="B97" s="35" t="s">
        <v>274</v>
      </c>
      <c r="C97" t="s">
        <v>308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 t="str">
        <f>VLOOKUP($C$97,'Haver NA'!$A$1:$J$34,10,0)</f>
        <v>827577</v>
      </c>
      <c r="O97" s="303" t="str">
        <f>VLOOKUP($C$97,'Haver NA'!$A$1:$K$34,11,0)</f>
        <v>840323</v>
      </c>
      <c r="P97" s="133">
        <f t="shared" ref="P97:U97" si="50">P98+P100</f>
        <v>847224.19480316178</v>
      </c>
      <c r="Q97" s="133">
        <f t="shared" si="50"/>
        <v>847953.57306406798</v>
      </c>
      <c r="R97" s="133">
        <f t="shared" si="50"/>
        <v>849053.11079238413</v>
      </c>
      <c r="S97" s="133">
        <f t="shared" si="50"/>
        <v>850530.1564740889</v>
      </c>
      <c r="T97" s="133">
        <f t="shared" si="50"/>
        <v>851875.63625646336</v>
      </c>
      <c r="U97" s="133">
        <f t="shared" si="50"/>
        <v>853307.52299733902</v>
      </c>
      <c r="V97" s="133">
        <f t="shared" ref="V97" si="51">V98+V100</f>
        <v>854801.12899428688</v>
      </c>
      <c r="AM97" s="233"/>
    </row>
    <row r="98" spans="1:39" s="35" customFormat="1" x14ac:dyDescent="0.2">
      <c r="A98" s="35" t="s">
        <v>224</v>
      </c>
      <c r="F98" s="203">
        <f t="shared" ref="F98:K98" si="52">F97-F100</f>
        <v>139025</v>
      </c>
      <c r="G98" s="203">
        <f t="shared" si="52"/>
        <v>139342</v>
      </c>
      <c r="H98" s="203">
        <f t="shared" si="52"/>
        <v>140228</v>
      </c>
      <c r="I98" s="203">
        <f t="shared" si="52"/>
        <v>141105</v>
      </c>
      <c r="J98" s="203">
        <f t="shared" si="52"/>
        <v>141335</v>
      </c>
      <c r="K98" s="203">
        <f t="shared" si="52"/>
        <v>142991</v>
      </c>
      <c r="L98" s="203">
        <f>L97-L100</f>
        <v>143335</v>
      </c>
      <c r="M98" s="301">
        <v>144777</v>
      </c>
      <c r="N98" s="303">
        <f>N97-N100</f>
        <v>145149</v>
      </c>
      <c r="O98" s="343">
        <f>N98*(1+O110)</f>
        <v>145511.8725</v>
      </c>
      <c r="P98" s="133">
        <f t="shared" ref="P98:S98" si="53">O98*(1+P110)</f>
        <v>145875.65218124999</v>
      </c>
      <c r="Q98" s="133">
        <f t="shared" si="53"/>
        <v>146605.03044215622</v>
      </c>
      <c r="R98" s="133">
        <f t="shared" si="53"/>
        <v>147704.5681704724</v>
      </c>
      <c r="S98" s="133">
        <f t="shared" si="53"/>
        <v>149181.61385217714</v>
      </c>
      <c r="T98" s="133">
        <f t="shared" ref="T98:V98" si="54">S98*(1+T109)</f>
        <v>150527.09363455165</v>
      </c>
      <c r="U98" s="133">
        <f t="shared" si="54"/>
        <v>151958.98037542729</v>
      </c>
      <c r="V98" s="133">
        <f t="shared" si="54"/>
        <v>153452.58637237517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O99" s="339"/>
      <c r="AM99" s="233"/>
    </row>
    <row r="100" spans="1:39" s="35" customFormat="1" x14ac:dyDescent="0.2">
      <c r="A100" s="35" t="s">
        <v>221</v>
      </c>
      <c r="B100" s="35" t="s">
        <v>274</v>
      </c>
      <c r="C100" t="s">
        <v>309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 t="str">
        <f>VLOOKUP($C$100,'Haver NA'!$A$1:$J$34,10,0)</f>
        <v>682428</v>
      </c>
      <c r="O100" s="310" t="str">
        <f>VLOOKUP($C$100,'Haver NA'!$A$1:$K$34,11,0)</f>
        <v>694419</v>
      </c>
      <c r="P100" s="135">
        <f>O100*(($AJ$100/$AI$100)^0.1)</f>
        <v>701348.54262191174</v>
      </c>
      <c r="Q100" s="135">
        <f>P100*(1+Q101)</f>
        <v>701348.54262191174</v>
      </c>
      <c r="R100" s="135">
        <f t="shared" ref="R100:V100" si="55">Q100*(1+R101)</f>
        <v>701348.54262191174</v>
      </c>
      <c r="S100" s="135">
        <f t="shared" si="55"/>
        <v>701348.54262191174</v>
      </c>
      <c r="T100" s="135">
        <f t="shared" si="55"/>
        <v>701348.54262191174</v>
      </c>
      <c r="U100" s="135">
        <f t="shared" si="55"/>
        <v>701348.54262191174</v>
      </c>
      <c r="V100" s="135">
        <f t="shared" si="55"/>
        <v>701348.54262191174</v>
      </c>
      <c r="AD100" s="45">
        <f>AVERAGE(J100:M100)/1000</f>
        <v>649.06349999999998</v>
      </c>
      <c r="AE100" s="45">
        <f>AVERAGE(N100:Q100)/1000</f>
        <v>701.34854262191175</v>
      </c>
      <c r="AF100" s="45">
        <f>AVERAGE(R100:U100)/1000</f>
        <v>701.34854262191175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216</v>
      </c>
      <c r="F102" s="208">
        <f t="shared" ref="F102:L102" si="56">F93/F100</f>
        <v>0.66058231423538405</v>
      </c>
      <c r="G102" s="208">
        <f t="shared" si="56"/>
        <v>0.6749214177505789</v>
      </c>
      <c r="H102" s="208">
        <f t="shared" si="56"/>
        <v>0.68242012696430432</v>
      </c>
      <c r="I102" s="208">
        <f t="shared" si="56"/>
        <v>0.6730637268687778</v>
      </c>
      <c r="J102" s="208">
        <f t="shared" si="56"/>
        <v>0.66395699382859508</v>
      </c>
      <c r="K102" s="208">
        <f t="shared" si="56"/>
        <v>0.67846773573296415</v>
      </c>
      <c r="L102" s="208">
        <f t="shared" si="56"/>
        <v>0.76648081779484256</v>
      </c>
      <c r="M102" s="208">
        <v>0.71094027669909299</v>
      </c>
      <c r="N102" s="208">
        <f t="shared" ref="N102" si="57">N93/N100</f>
        <v>0.75054511245142341</v>
      </c>
      <c r="O102" s="348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390</v>
      </c>
      <c r="B103" s="35" t="s">
        <v>274</v>
      </c>
      <c r="C103" t="s">
        <v>310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1989.1679999999999</v>
      </c>
      <c r="O103" s="301">
        <f>VLOOKUP($C$103,'Haver NA'!$A$1:$K$34,11,0)/1000</f>
        <v>1993.271</v>
      </c>
      <c r="P103" s="35">
        <f t="shared" ref="P103:V103" si="58">O103*(1+P105)</f>
        <v>2015.0262230230642</v>
      </c>
      <c r="Q103" s="35">
        <f t="shared" si="58"/>
        <v>2029.3928797364085</v>
      </c>
      <c r="R103" s="35">
        <f t="shared" si="58"/>
        <v>2039.3469204592257</v>
      </c>
      <c r="S103" s="35">
        <f t="shared" si="58"/>
        <v>2049.1983422055191</v>
      </c>
      <c r="T103" s="35">
        <f t="shared" si="58"/>
        <v>2056.3816705621916</v>
      </c>
      <c r="U103" s="35">
        <f t="shared" si="58"/>
        <v>2060.7942865527189</v>
      </c>
      <c r="V103" s="35">
        <f t="shared" si="58"/>
        <v>2062.4361901771008</v>
      </c>
      <c r="AM103" s="233"/>
    </row>
    <row r="104" spans="1:39" s="185" customFormat="1" x14ac:dyDescent="0.2">
      <c r="A104" s="169" t="s">
        <v>278</v>
      </c>
      <c r="B104" s="35"/>
      <c r="C104" s="35"/>
      <c r="D104" s="35"/>
      <c r="F104" s="200"/>
      <c r="G104" s="200">
        <f t="shared" ref="G104:L104" si="59">(G103/F103)-1</f>
        <v>7.8113264233139468E-3</v>
      </c>
      <c r="H104" s="200">
        <f t="shared" si="59"/>
        <v>6.3596164356336526E-3</v>
      </c>
      <c r="I104" s="200">
        <f t="shared" si="59"/>
        <v>1.3823747222907468E-3</v>
      </c>
      <c r="J104" s="200">
        <f t="shared" si="59"/>
        <v>3.5990731154167399E-3</v>
      </c>
      <c r="K104" s="200">
        <f t="shared" si="59"/>
        <v>2.6527805069758159E-3</v>
      </c>
      <c r="L104" s="200">
        <f t="shared" si="59"/>
        <v>-1.36697697207252E-2</v>
      </c>
      <c r="M104" s="302">
        <v>-9.9592668024439668E-3</v>
      </c>
      <c r="N104" s="323">
        <f>(N103/M103)-1</f>
        <v>-1.9482692615492292E-3</v>
      </c>
      <c r="O104" s="349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279</v>
      </c>
      <c r="B105" s="35" t="s">
        <v>274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391</v>
      </c>
      <c r="B106" s="35" t="s">
        <v>274</v>
      </c>
      <c r="C106" t="s">
        <v>311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2341.7260000000001</v>
      </c>
      <c r="O106" s="301">
        <f>VLOOKUP($C$106,'Haver NA'!$A$1:$K$34,11,0)/1000</f>
        <v>2389.366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 s="339">
        <f>N107*(1+O110)</f>
        <v>0</v>
      </c>
      <c r="P107">
        <f t="shared" ref="P107:S107" si="60">O107*(1+P110)</f>
        <v>0</v>
      </c>
      <c r="Q107">
        <f t="shared" si="60"/>
        <v>0</v>
      </c>
      <c r="R107">
        <f t="shared" si="60"/>
        <v>0</v>
      </c>
      <c r="S107">
        <f t="shared" si="60"/>
        <v>0</v>
      </c>
      <c r="T107">
        <f>S107*(1+T109)</f>
        <v>0</v>
      </c>
      <c r="U107">
        <f t="shared" ref="U107:V107" si="61">T107*(1+U109)</f>
        <v>0</v>
      </c>
      <c r="V107">
        <f t="shared" si="61"/>
        <v>0</v>
      </c>
      <c r="W107"/>
      <c r="X107"/>
      <c r="Y107"/>
      <c r="AM107" s="233"/>
    </row>
    <row r="108" spans="1:39" s="185" customFormat="1" x14ac:dyDescent="0.2">
      <c r="A108" s="169" t="s">
        <v>278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2">(K106/J106)-1</f>
        <v>1.0265546788835067E-2</v>
      </c>
      <c r="L108" s="200">
        <f t="shared" ref="L108" si="63">(L106/K106)-1</f>
        <v>-1.9776620759153429E-2</v>
      </c>
      <c r="M108" s="302">
        <v>-8.3608921686818549E-3</v>
      </c>
      <c r="N108" s="323">
        <f>(((N106/M106))^4)-1</f>
        <v>2.0975105073546052E-2</v>
      </c>
      <c r="O108" s="349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279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361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392</v>
      </c>
      <c r="F111" s="201">
        <f t="shared" ref="F111:L111" si="64">F97+F46-F93</f>
        <v>339220</v>
      </c>
      <c r="G111" s="201">
        <f t="shared" si="64"/>
        <v>334185</v>
      </c>
      <c r="H111" s="201">
        <f t="shared" si="64"/>
        <v>335532</v>
      </c>
      <c r="I111" s="201">
        <f t="shared" si="64"/>
        <v>344546</v>
      </c>
      <c r="J111" s="201">
        <f t="shared" si="64"/>
        <v>349558</v>
      </c>
      <c r="K111" s="201">
        <f t="shared" si="64"/>
        <v>343658</v>
      </c>
      <c r="L111" s="201">
        <f t="shared" si="64"/>
        <v>560584.66666666674</v>
      </c>
      <c r="M111" s="301">
        <v>528408</v>
      </c>
      <c r="N111" s="306">
        <f t="shared" ref="N111:Y111" si="65">N97+N46-N93</f>
        <v>352084</v>
      </c>
      <c r="O111" s="298">
        <f t="shared" si="65"/>
        <v>377160</v>
      </c>
      <c r="P111" s="215">
        <f>P97-P93</f>
        <v>328226.2732629471</v>
      </c>
      <c r="Q111" s="215">
        <f t="shared" ref="Q111:V111" si="66">Q97-Q93</f>
        <v>328955.6515238533</v>
      </c>
      <c r="R111" s="215">
        <f t="shared" si="66"/>
        <v>330055.18925216945</v>
      </c>
      <c r="S111" s="215">
        <f t="shared" si="66"/>
        <v>331532.23493387422</v>
      </c>
      <c r="T111" s="215">
        <f t="shared" si="66"/>
        <v>374958.62727356335</v>
      </c>
      <c r="U111" s="215">
        <f t="shared" si="66"/>
        <v>376390.51401443902</v>
      </c>
      <c r="V111" s="215">
        <f t="shared" si="66"/>
        <v>377884.12001138687</v>
      </c>
      <c r="W111" s="215">
        <f t="shared" si="65"/>
        <v>0</v>
      </c>
      <c r="X111" s="215">
        <f t="shared" si="65"/>
        <v>0</v>
      </c>
      <c r="Y111" s="215">
        <f t="shared" si="65"/>
        <v>0</v>
      </c>
      <c r="AM111" s="233"/>
    </row>
    <row r="112" spans="1:39" s="35" customFormat="1" x14ac:dyDescent="0.2">
      <c r="A112" s="141" t="s">
        <v>208</v>
      </c>
      <c r="B112" s="141"/>
      <c r="E112" s="141"/>
      <c r="F112" s="201">
        <f t="shared" ref="F112:L112" si="67">F100-F93</f>
        <v>200195</v>
      </c>
      <c r="G112" s="201">
        <f t="shared" si="67"/>
        <v>194843</v>
      </c>
      <c r="H112" s="201">
        <f t="shared" si="67"/>
        <v>195304</v>
      </c>
      <c r="I112" s="201">
        <f t="shared" si="67"/>
        <v>203441</v>
      </c>
      <c r="J112" s="201">
        <f t="shared" si="67"/>
        <v>208223</v>
      </c>
      <c r="K112" s="201">
        <f t="shared" si="67"/>
        <v>200667</v>
      </c>
      <c r="L112" s="201">
        <f t="shared" si="67"/>
        <v>156183</v>
      </c>
      <c r="M112" s="301">
        <v>197631</v>
      </c>
      <c r="N112" s="306">
        <f>N100-N93</f>
        <v>170235</v>
      </c>
      <c r="O112" s="298">
        <f t="shared" ref="O112:Y112" si="68">O100-O93</f>
        <v>171256</v>
      </c>
      <c r="P112" s="142">
        <f t="shared" si="68"/>
        <v>182350.62108169706</v>
      </c>
      <c r="Q112" s="142">
        <f t="shared" si="68"/>
        <v>182350.62108169706</v>
      </c>
      <c r="R112" s="142">
        <f t="shared" si="68"/>
        <v>182350.62108169706</v>
      </c>
      <c r="S112" s="142">
        <f t="shared" si="68"/>
        <v>182350.62108169706</v>
      </c>
      <c r="T112" s="142">
        <f t="shared" si="68"/>
        <v>224431.53363901173</v>
      </c>
      <c r="U112" s="142">
        <f t="shared" si="68"/>
        <v>224431.53363901173</v>
      </c>
      <c r="V112" s="142">
        <f t="shared" si="68"/>
        <v>224431.53363901173</v>
      </c>
      <c r="W112" s="142">
        <f t="shared" si="68"/>
        <v>0</v>
      </c>
      <c r="X112" s="142">
        <f t="shared" si="68"/>
        <v>0</v>
      </c>
      <c r="Y112" s="142">
        <f t="shared" si="68"/>
        <v>0</v>
      </c>
      <c r="AM112" s="233"/>
    </row>
    <row r="113" spans="1:39" s="141" customFormat="1" x14ac:dyDescent="0.2">
      <c r="A113" s="141" t="s">
        <v>225</v>
      </c>
      <c r="C113" s="35"/>
      <c r="D113" s="35"/>
      <c r="F113" s="201">
        <f t="shared" ref="F113:K113" si="69">F111-F112</f>
        <v>139025</v>
      </c>
      <c r="G113" s="201">
        <f t="shared" si="69"/>
        <v>139342</v>
      </c>
      <c r="H113" s="201">
        <f t="shared" si="69"/>
        <v>140228</v>
      </c>
      <c r="I113" s="201">
        <f t="shared" si="69"/>
        <v>141105</v>
      </c>
      <c r="J113" s="201">
        <f t="shared" si="69"/>
        <v>141335</v>
      </c>
      <c r="K113" s="201">
        <f t="shared" si="69"/>
        <v>142991</v>
      </c>
      <c r="L113" s="201">
        <f>L111-L112</f>
        <v>404401.66666666674</v>
      </c>
      <c r="M113" s="306">
        <v>330777</v>
      </c>
      <c r="N113" s="306">
        <f>N111-N112</f>
        <v>181849</v>
      </c>
      <c r="O113" s="298">
        <f t="shared" ref="O113:Y113" si="70">O111-O112</f>
        <v>205904</v>
      </c>
      <c r="P113" s="142">
        <f t="shared" si="70"/>
        <v>145875.65218125004</v>
      </c>
      <c r="Q113" s="142">
        <f t="shared" si="70"/>
        <v>146605.03044215625</v>
      </c>
      <c r="R113" s="142">
        <f t="shared" si="70"/>
        <v>147704.5681704724</v>
      </c>
      <c r="S113" s="142">
        <f t="shared" si="70"/>
        <v>149181.61385217716</v>
      </c>
      <c r="T113" s="142">
        <f t="shared" si="70"/>
        <v>150527.09363455162</v>
      </c>
      <c r="U113" s="142">
        <f t="shared" si="70"/>
        <v>151958.98037542729</v>
      </c>
      <c r="V113" s="142">
        <f t="shared" si="70"/>
        <v>153452.58637237514</v>
      </c>
      <c r="W113" s="142">
        <f t="shared" si="70"/>
        <v>0</v>
      </c>
      <c r="X113" s="142">
        <f t="shared" si="70"/>
        <v>0</v>
      </c>
      <c r="Y113" s="142">
        <f t="shared" si="70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4.6640625" customWidth="1"/>
  </cols>
  <sheetData>
    <row r="1" spans="1:10" x14ac:dyDescent="0.2">
      <c r="B1" t="s">
        <v>373</v>
      </c>
      <c r="C1" t="s">
        <v>374</v>
      </c>
      <c r="D1" t="s">
        <v>375</v>
      </c>
      <c r="E1" t="s">
        <v>376</v>
      </c>
      <c r="F1" t="s">
        <v>116</v>
      </c>
      <c r="G1" t="s">
        <v>378</v>
      </c>
      <c r="H1" t="s">
        <v>379</v>
      </c>
      <c r="I1" t="s">
        <v>380</v>
      </c>
      <c r="J1" t="s">
        <v>381</v>
      </c>
    </row>
    <row r="2" spans="1:10" x14ac:dyDescent="0.2">
      <c r="A2" t="s">
        <v>377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2">
      <c r="A4" t="s">
        <v>373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2">
      <c r="A5" t="s">
        <v>374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2">
      <c r="A6" t="s">
        <v>375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2">
      <c r="A7" t="s">
        <v>376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2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2">
      <c r="B11" t="s">
        <v>109</v>
      </c>
      <c r="C11" t="s">
        <v>110</v>
      </c>
      <c r="D11" t="s">
        <v>111</v>
      </c>
      <c r="E11" t="s">
        <v>134</v>
      </c>
    </row>
    <row r="12" spans="1:10" x14ac:dyDescent="0.2">
      <c r="A12" t="s">
        <v>383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2">
      <c r="A13" s="86" t="s">
        <v>382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2">
      <c r="A14" t="s">
        <v>384</v>
      </c>
      <c r="B14">
        <f>SUM(B2:D2)*4</f>
        <v>716</v>
      </c>
      <c r="C14">
        <f>E2*4</f>
        <v>328</v>
      </c>
    </row>
    <row r="15" spans="1:10" x14ac:dyDescent="0.2">
      <c r="A15" t="s">
        <v>385</v>
      </c>
      <c r="B15">
        <f>B14*325/261</f>
        <v>891.57088122605364</v>
      </c>
      <c r="C15">
        <f>C14*325/261</f>
        <v>408.42911877394636</v>
      </c>
    </row>
    <row r="16" spans="1:10" x14ac:dyDescent="0.2">
      <c r="B16" t="s">
        <v>386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345</v>
      </c>
      <c r="B1" s="97" t="s">
        <v>346</v>
      </c>
      <c r="C1" s="97" t="s">
        <v>347</v>
      </c>
    </row>
    <row r="2" spans="1:3" x14ac:dyDescent="0.2">
      <c r="A2" s="289" t="s">
        <v>349</v>
      </c>
      <c r="B2" s="289">
        <v>325</v>
      </c>
      <c r="C2" s="290">
        <f>B2*1000</f>
        <v>325000</v>
      </c>
    </row>
    <row r="3" spans="1:3" x14ac:dyDescent="0.2">
      <c r="A3" s="289" t="s">
        <v>350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19</v>
      </c>
      <c r="B4" s="289">
        <v>166</v>
      </c>
      <c r="C4" s="290">
        <f t="shared" si="0"/>
        <v>166000</v>
      </c>
    </row>
    <row r="5" spans="1:3" x14ac:dyDescent="0.2">
      <c r="A5" s="289" t="s">
        <v>196</v>
      </c>
      <c r="B5" s="289">
        <v>82</v>
      </c>
      <c r="C5" s="290">
        <f t="shared" si="0"/>
        <v>82000</v>
      </c>
    </row>
    <row r="6" spans="1:3" x14ac:dyDescent="0.2">
      <c r="A6" s="289" t="s">
        <v>351</v>
      </c>
      <c r="B6" s="289">
        <v>63</v>
      </c>
      <c r="C6" s="290">
        <f t="shared" si="0"/>
        <v>63000</v>
      </c>
    </row>
    <row r="7" spans="1:3" x14ac:dyDescent="0.2">
      <c r="A7" s="291" t="s">
        <v>342</v>
      </c>
      <c r="B7">
        <v>22</v>
      </c>
      <c r="C7" s="290">
        <f>B7*1000</f>
        <v>22000</v>
      </c>
    </row>
    <row r="8" spans="1:3" x14ac:dyDescent="0.2">
      <c r="A8" s="176" t="s">
        <v>343</v>
      </c>
      <c r="B8">
        <v>20</v>
      </c>
      <c r="C8" s="290">
        <f>B8*1000</f>
        <v>20000</v>
      </c>
    </row>
    <row r="9" spans="1:3" x14ac:dyDescent="0.2">
      <c r="A9" s="176" t="s">
        <v>344</v>
      </c>
      <c r="B9">
        <v>9</v>
      </c>
      <c r="C9" s="290">
        <f>B9*1000</f>
        <v>9000</v>
      </c>
    </row>
    <row r="10" spans="1:3" x14ac:dyDescent="0.2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352</v>
      </c>
      <c r="B11" s="289">
        <v>45</v>
      </c>
      <c r="C11" s="290">
        <f t="shared" si="0"/>
        <v>45000</v>
      </c>
    </row>
    <row r="12" spans="1:3" x14ac:dyDescent="0.2">
      <c r="A12" s="291" t="s">
        <v>353</v>
      </c>
      <c r="B12" s="289">
        <v>16</v>
      </c>
      <c r="C12" s="290">
        <f t="shared" si="0"/>
        <v>16000</v>
      </c>
    </row>
    <row r="13" spans="1:3" x14ac:dyDescent="0.2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354</v>
      </c>
      <c r="B14" s="289">
        <v>80</v>
      </c>
      <c r="C14" s="290">
        <f t="shared" si="0"/>
        <v>80000</v>
      </c>
    </row>
    <row r="15" spans="1:3" x14ac:dyDescent="0.2">
      <c r="A15" s="291" t="s">
        <v>337</v>
      </c>
      <c r="B15" s="289">
        <v>26</v>
      </c>
      <c r="C15" s="290">
        <f t="shared" si="0"/>
        <v>26000</v>
      </c>
    </row>
    <row r="16" spans="1:3" x14ac:dyDescent="0.2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355</v>
      </c>
      <c r="B17">
        <v>30</v>
      </c>
      <c r="C17" s="290">
        <f t="shared" si="0"/>
        <v>30000</v>
      </c>
    </row>
    <row r="18" spans="1:3" x14ac:dyDescent="0.2">
      <c r="A18" s="291" t="s">
        <v>356</v>
      </c>
      <c r="B18">
        <v>20</v>
      </c>
      <c r="C18" s="290">
        <f t="shared" si="0"/>
        <v>20000</v>
      </c>
    </row>
    <row r="19" spans="1:3" x14ac:dyDescent="0.2">
      <c r="A19" s="291" t="s">
        <v>357</v>
      </c>
      <c r="B19">
        <v>5</v>
      </c>
      <c r="C19" s="290">
        <f t="shared" si="0"/>
        <v>5000</v>
      </c>
    </row>
    <row r="20" spans="1:3" ht="16" thickBot="1" x14ac:dyDescent="0.25">
      <c r="A20" s="293" t="s">
        <v>358</v>
      </c>
      <c r="B20" s="294">
        <v>5</v>
      </c>
      <c r="C20" s="295">
        <f t="shared" si="0"/>
        <v>5000</v>
      </c>
    </row>
    <row r="21" spans="1:3" x14ac:dyDescent="0.2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25" zoomScaleNormal="130" workbookViewId="0">
      <pane xSplit="2" ySplit="8" topLeftCell="C45" activePane="bottomRight" state="frozen"/>
      <selection pane="topRight" activeCell="C1" sqref="C1"/>
      <selection pane="bottomLeft" activeCell="A9" sqref="A9"/>
      <selection pane="bottomRight" activeCell="I61" sqref="I61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60" t="s">
        <v>203</v>
      </c>
      <c r="B1" s="361"/>
      <c r="C1" s="35"/>
      <c r="H1"/>
      <c r="I1" s="240"/>
      <c r="J1" s="368" t="s">
        <v>273</v>
      </c>
      <c r="V1" s="352"/>
      <c r="W1" s="352"/>
      <c r="X1" s="352"/>
      <c r="Y1" s="352"/>
    </row>
    <row r="2" spans="1:50" x14ac:dyDescent="0.2">
      <c r="A2" s="362" t="s">
        <v>189</v>
      </c>
      <c r="B2" s="126"/>
      <c r="C2" t="s">
        <v>190</v>
      </c>
      <c r="I2" s="241"/>
      <c r="J2" s="368"/>
    </row>
    <row r="3" spans="1:50" x14ac:dyDescent="0.2">
      <c r="A3" s="363"/>
      <c r="B3" s="127"/>
      <c r="C3" t="s">
        <v>191</v>
      </c>
      <c r="I3" s="241"/>
      <c r="J3" s="368"/>
    </row>
    <row r="4" spans="1:50" x14ac:dyDescent="0.2">
      <c r="A4" s="363"/>
      <c r="B4" s="128"/>
      <c r="C4" t="s">
        <v>192</v>
      </c>
    </row>
    <row r="5" spans="1:50" x14ac:dyDescent="0.2">
      <c r="A5" s="364"/>
      <c r="B5" s="129"/>
      <c r="C5" t="s">
        <v>179</v>
      </c>
    </row>
    <row r="7" spans="1:50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267</v>
      </c>
      <c r="T7" s="366"/>
      <c r="U7" s="366"/>
      <c r="V7" s="366"/>
      <c r="W7" s="365" t="s">
        <v>268</v>
      </c>
      <c r="X7" s="366"/>
      <c r="Y7" s="366"/>
      <c r="Z7" s="366"/>
      <c r="AA7" s="222" t="s">
        <v>269</v>
      </c>
    </row>
    <row r="8" spans="1:50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168</v>
      </c>
      <c r="D10">
        <v>200.67099999999999</v>
      </c>
      <c r="E10">
        <v>156.16</v>
      </c>
      <c r="F10">
        <v>197.62799999999999</v>
      </c>
      <c r="G10">
        <v>170.20699999999999</v>
      </c>
      <c r="H10">
        <v>171.23699999999999</v>
      </c>
      <c r="I10">
        <v>175.56274099593</v>
      </c>
      <c r="J10">
        <v>179.888481991861</v>
      </c>
      <c r="K10">
        <v>180.49888383554401</v>
      </c>
      <c r="L10">
        <v>181.10928567922701</v>
      </c>
      <c r="M10">
        <v>181.71968752290999</v>
      </c>
      <c r="N10">
        <v>182.330089366593</v>
      </c>
      <c r="O10">
        <v>180.35508255879</v>
      </c>
      <c r="P10">
        <v>178.38007575098601</v>
      </c>
      <c r="Q10">
        <v>176.40506894318301</v>
      </c>
      <c r="R10">
        <v>174.43006213537899</v>
      </c>
      <c r="S10">
        <v>175.461672281072</v>
      </c>
      <c r="T10">
        <v>176.49328242676501</v>
      </c>
      <c r="U10">
        <v>177.52489257245799</v>
      </c>
      <c r="V10">
        <v>178.55650271815099</v>
      </c>
      <c r="W10">
        <v>181.209999767016</v>
      </c>
      <c r="X10">
        <v>183.86349681588001</v>
      </c>
      <c r="Y10">
        <v>186.51699386474499</v>
      </c>
      <c r="Z10">
        <v>189.170490913609</v>
      </c>
      <c r="AA10">
        <v>191.81299452331399</v>
      </c>
      <c r="AB10">
        <v>194.45549813301801</v>
      </c>
      <c r="AC10">
        <v>197.098001742723</v>
      </c>
      <c r="AD10">
        <v>199.74050535242799</v>
      </c>
      <c r="AE10">
        <v>202.769995751918</v>
      </c>
      <c r="AF10">
        <v>205.79948615140901</v>
      </c>
      <c r="AG10">
        <v>208.828976550899</v>
      </c>
      <c r="AH10">
        <v>211.85846695039001</v>
      </c>
      <c r="AI10">
        <v>214.91251527445601</v>
      </c>
      <c r="AJ10">
        <v>217.96656359852099</v>
      </c>
      <c r="AK10">
        <v>221.02061192258699</v>
      </c>
      <c r="AL10">
        <v>224.074660246653</v>
      </c>
      <c r="AM10">
        <v>227.23039788294901</v>
      </c>
      <c r="AN10">
        <v>230.38613551924399</v>
      </c>
      <c r="AO10">
        <v>233.54187315554</v>
      </c>
      <c r="AP10">
        <v>236.69761079183601</v>
      </c>
      <c r="AQ10">
        <v>240.02720434904199</v>
      </c>
      <c r="AR10">
        <v>243.35679790624701</v>
      </c>
      <c r="AS10">
        <v>246.68639146345299</v>
      </c>
      <c r="AT10">
        <v>250.01598502065801</v>
      </c>
      <c r="AU10">
        <v>253.47572671243501</v>
      </c>
      <c r="AV10">
        <v>256.93546840421197</v>
      </c>
      <c r="AW10">
        <v>260.39521009599002</v>
      </c>
      <c r="AX10">
        <v>263.85495178776699</v>
      </c>
    </row>
    <row r="11" spans="1:50" ht="16" x14ac:dyDescent="0.2">
      <c r="B11" s="86" t="s">
        <v>169</v>
      </c>
      <c r="D11">
        <v>143</v>
      </c>
      <c r="E11">
        <v>143.4</v>
      </c>
      <c r="F11">
        <v>144.80000000000001</v>
      </c>
      <c r="G11">
        <v>145.19999999999999</v>
      </c>
      <c r="H11">
        <v>145.9</v>
      </c>
      <c r="I11">
        <v>148.62099511391199</v>
      </c>
      <c r="J11">
        <v>147.797019737607</v>
      </c>
      <c r="K11">
        <v>159.24265611122399</v>
      </c>
      <c r="L11">
        <v>170.909193879409</v>
      </c>
      <c r="M11">
        <v>182.80013836844901</v>
      </c>
      <c r="N11">
        <v>193.82051361413301</v>
      </c>
      <c r="O11">
        <v>214.404660294731</v>
      </c>
      <c r="P11">
        <v>234.02054172086099</v>
      </c>
      <c r="Q11">
        <v>253.77886496758899</v>
      </c>
      <c r="R11">
        <v>273.52670175744203</v>
      </c>
      <c r="S11">
        <v>281.50135302305898</v>
      </c>
      <c r="T11">
        <v>289.89524687581797</v>
      </c>
      <c r="U11">
        <v>298.67027035325299</v>
      </c>
      <c r="V11">
        <v>306.91171235614303</v>
      </c>
      <c r="W11">
        <v>308.00438682705601</v>
      </c>
      <c r="X11">
        <v>309.05894833550099</v>
      </c>
      <c r="Y11">
        <v>310.07539688147898</v>
      </c>
      <c r="Z11">
        <v>311.091845427458</v>
      </c>
      <c r="AA11">
        <v>312.15287454978699</v>
      </c>
      <c r="AB11">
        <v>313.213903672117</v>
      </c>
      <c r="AC11">
        <v>314.31304575691399</v>
      </c>
      <c r="AD11">
        <v>315.41218784171201</v>
      </c>
      <c r="AE11">
        <v>314.980134697246</v>
      </c>
      <c r="AF11">
        <v>314.54808155277999</v>
      </c>
      <c r="AG11">
        <v>314.15414137078102</v>
      </c>
      <c r="AH11">
        <v>313.79831415125</v>
      </c>
      <c r="AI11">
        <v>313.342899676483</v>
      </c>
      <c r="AJ11">
        <v>312.88748520171401</v>
      </c>
      <c r="AK11">
        <v>312.470183689414</v>
      </c>
      <c r="AL11">
        <v>312.05288217711302</v>
      </c>
      <c r="AM11">
        <v>311.26132329602899</v>
      </c>
      <c r="AN11">
        <v>310.46976441494297</v>
      </c>
      <c r="AO11">
        <v>309.67820553385798</v>
      </c>
      <c r="AP11">
        <v>308.92475961524099</v>
      </c>
      <c r="AQ11">
        <v>307.54251937780498</v>
      </c>
      <c r="AR11">
        <v>306.19839210283601</v>
      </c>
      <c r="AS11">
        <v>304.93049075280197</v>
      </c>
      <c r="AT11">
        <v>303.738815327704</v>
      </c>
      <c r="AU11">
        <v>302.09558932686201</v>
      </c>
      <c r="AV11">
        <v>300.52858925095501</v>
      </c>
      <c r="AW11">
        <v>299.07592806244998</v>
      </c>
      <c r="AX11">
        <v>297.661379836413</v>
      </c>
    </row>
    <row r="12" spans="1:50" ht="16" x14ac:dyDescent="0.2">
      <c r="B12" s="86" t="s">
        <v>170</v>
      </c>
      <c r="D12">
        <v>1862.4</v>
      </c>
      <c r="E12">
        <v>1779.8</v>
      </c>
      <c r="F12">
        <v>1871.3</v>
      </c>
      <c r="G12">
        <v>1907.1</v>
      </c>
      <c r="H12">
        <v>1965.1</v>
      </c>
      <c r="I12">
        <v>1985.2448178335901</v>
      </c>
      <c r="J12">
        <v>2013.98715613545</v>
      </c>
      <c r="K12">
        <v>2040.75997876518</v>
      </c>
      <c r="L12">
        <v>2066.0938858353702</v>
      </c>
      <c r="M12">
        <v>2087.0121207822099</v>
      </c>
      <c r="N12">
        <v>2109.4681967333199</v>
      </c>
      <c r="O12">
        <v>2131.6274963502601</v>
      </c>
      <c r="P12">
        <v>2152.0241244067802</v>
      </c>
      <c r="Q12">
        <v>2174.8489224700102</v>
      </c>
      <c r="R12">
        <v>2198.8518326476301</v>
      </c>
      <c r="S12">
        <v>2223.5921870494999</v>
      </c>
      <c r="T12">
        <v>2246.93859200308</v>
      </c>
      <c r="U12">
        <v>2271.6969328494501</v>
      </c>
      <c r="V12">
        <v>2296.6441313630098</v>
      </c>
      <c r="W12">
        <v>2322.6075639904998</v>
      </c>
      <c r="X12">
        <v>2347.9954303941699</v>
      </c>
      <c r="Y12">
        <v>2373.5181951315499</v>
      </c>
      <c r="Z12">
        <v>2398.4833800896099</v>
      </c>
      <c r="AA12">
        <v>2423.3226599362101</v>
      </c>
      <c r="AB12">
        <v>2448.3687838944902</v>
      </c>
      <c r="AC12">
        <v>2472.8933009624302</v>
      </c>
      <c r="AD12">
        <v>2497.1570145852102</v>
      </c>
      <c r="AE12">
        <v>2520.9800603178801</v>
      </c>
      <c r="AF12">
        <v>2544.4703568274099</v>
      </c>
      <c r="AG12">
        <v>2567.9696465591801</v>
      </c>
      <c r="AH12">
        <v>2591.8016855141</v>
      </c>
      <c r="AI12">
        <v>2616.1463381371</v>
      </c>
      <c r="AJ12">
        <v>2640.9046789834802</v>
      </c>
      <c r="AK12">
        <v>2665.99576905299</v>
      </c>
      <c r="AL12">
        <v>2691.0418930112701</v>
      </c>
      <c r="AM12">
        <v>2716.1869424142701</v>
      </c>
      <c r="AN12">
        <v>2741.4129308175002</v>
      </c>
      <c r="AO12">
        <v>2766.59395310949</v>
      </c>
      <c r="AP12">
        <v>2791.6760499567599</v>
      </c>
      <c r="AQ12">
        <v>2816.99197058245</v>
      </c>
      <c r="AR12">
        <v>2842.3798369861202</v>
      </c>
      <c r="AS12">
        <v>2868.0734729462001</v>
      </c>
      <c r="AT12">
        <v>2894.2617361298699</v>
      </c>
      <c r="AU12">
        <v>2920.90865364814</v>
      </c>
      <c r="AV12">
        <v>2948.0771780567402</v>
      </c>
      <c r="AW12">
        <v>2975.3446279100699</v>
      </c>
      <c r="AX12">
        <v>3002.7649625415902</v>
      </c>
    </row>
    <row r="13" spans="1:50" ht="16" x14ac:dyDescent="0.2">
      <c r="B13" s="86" t="s">
        <v>171</v>
      </c>
      <c r="D13">
        <v>62.7</v>
      </c>
      <c r="E13">
        <v>54.2</v>
      </c>
      <c r="F13">
        <v>90.2</v>
      </c>
      <c r="G13">
        <v>95.9</v>
      </c>
      <c r="H13">
        <v>96.6</v>
      </c>
      <c r="I13">
        <v>97.590275000114403</v>
      </c>
      <c r="J13">
        <v>99.003185223491897</v>
      </c>
      <c r="K13">
        <v>100.319278382126</v>
      </c>
      <c r="L13">
        <v>101.564637612181</v>
      </c>
      <c r="M13">
        <v>102.592932098907</v>
      </c>
      <c r="N13">
        <v>103.69682347180201</v>
      </c>
      <c r="O13">
        <v>104.786125971928</v>
      </c>
      <c r="P13">
        <v>105.78877940954401</v>
      </c>
      <c r="Q13">
        <v>106.910796351638</v>
      </c>
      <c r="R13">
        <v>108.090726697756</v>
      </c>
      <c r="S13">
        <v>109.306908182272</v>
      </c>
      <c r="T13">
        <v>110.454566173476</v>
      </c>
      <c r="U13">
        <v>111.671631832098</v>
      </c>
      <c r="V13">
        <v>112.897981318847</v>
      </c>
      <c r="W13">
        <v>114.17428664265501</v>
      </c>
      <c r="X13">
        <v>115.422298395032</v>
      </c>
      <c r="Y13">
        <v>116.676941453212</v>
      </c>
      <c r="Z13">
        <v>117.90417511406901</v>
      </c>
      <c r="AA13">
        <v>119.125219556174</v>
      </c>
      <c r="AB13">
        <v>120.356432000513</v>
      </c>
      <c r="AC13">
        <v>121.562003395741</v>
      </c>
      <c r="AD13">
        <v>122.75475426641501</v>
      </c>
      <c r="AE13">
        <v>123.925842871461</v>
      </c>
      <c r="AF13">
        <v>125.080574255523</v>
      </c>
      <c r="AG13">
        <v>126.235747726638</v>
      </c>
      <c r="AH13">
        <v>127.407278418738</v>
      </c>
      <c r="AI13">
        <v>128.604008072894</v>
      </c>
      <c r="AJ13">
        <v>129.821073731517</v>
      </c>
      <c r="AK13">
        <v>131.05449661112399</v>
      </c>
      <c r="AL13">
        <v>132.28570905546201</v>
      </c>
      <c r="AM13">
        <v>133.52178445739099</v>
      </c>
      <c r="AN13">
        <v>134.76183864280199</v>
      </c>
      <c r="AO13">
        <v>135.999682392945</v>
      </c>
      <c r="AP13">
        <v>137.23266318549801</v>
      </c>
      <c r="AQ13">
        <v>138.477138241446</v>
      </c>
      <c r="AR13">
        <v>139.72514999382199</v>
      </c>
      <c r="AS13">
        <v>140.98819270602101</v>
      </c>
      <c r="AT13">
        <v>142.27555020617001</v>
      </c>
      <c r="AU13">
        <v>143.58545414605399</v>
      </c>
      <c r="AV13">
        <v>144.920999135047</v>
      </c>
      <c r="AW13">
        <v>146.26140708163101</v>
      </c>
      <c r="AX13">
        <v>147.60933050812599</v>
      </c>
    </row>
    <row r="14" spans="1:50" ht="16" x14ac:dyDescent="0.2">
      <c r="B14" s="86" t="s">
        <v>173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1403.2629999999999</v>
      </c>
      <c r="I14">
        <v>1394.63952711825</v>
      </c>
      <c r="J14">
        <v>1386.0160542364999</v>
      </c>
      <c r="K14">
        <v>1416.24742986613</v>
      </c>
      <c r="L14">
        <v>1446.4788054957501</v>
      </c>
      <c r="M14">
        <v>1476.7101811253699</v>
      </c>
      <c r="N14">
        <v>1506.941556755</v>
      </c>
      <c r="O14">
        <v>1519.7601557667999</v>
      </c>
      <c r="P14">
        <v>1532.5787547785901</v>
      </c>
      <c r="Q14">
        <v>1545.3973537903901</v>
      </c>
      <c r="R14">
        <v>1558.21595280219</v>
      </c>
      <c r="S14">
        <v>1568.7825477363999</v>
      </c>
      <c r="T14">
        <v>1579.34914267061</v>
      </c>
      <c r="U14">
        <v>1589.9157376048099</v>
      </c>
      <c r="V14">
        <v>1600.48233253902</v>
      </c>
      <c r="W14">
        <v>1639.9186754518</v>
      </c>
      <c r="X14">
        <v>1679.35501836459</v>
      </c>
      <c r="Y14">
        <v>1718.79136127737</v>
      </c>
      <c r="Z14">
        <v>1758.22770419015</v>
      </c>
      <c r="AA14">
        <v>1787.6196955994999</v>
      </c>
      <c r="AB14">
        <v>1817.01168700885</v>
      </c>
      <c r="AC14">
        <v>1846.4036784181901</v>
      </c>
      <c r="AD14">
        <v>1875.79566982754</v>
      </c>
      <c r="AE14">
        <v>1908.2148727936301</v>
      </c>
      <c r="AF14">
        <v>1940.63407575972</v>
      </c>
      <c r="AG14">
        <v>1973.0532787258101</v>
      </c>
      <c r="AH14">
        <v>2005.4724816918999</v>
      </c>
      <c r="AI14">
        <v>2057.1759873287501</v>
      </c>
      <c r="AJ14">
        <v>2108.8794929656101</v>
      </c>
      <c r="AK14">
        <v>2160.5829986024601</v>
      </c>
      <c r="AL14">
        <v>2212.28650423931</v>
      </c>
      <c r="AM14">
        <v>2211.5343138466101</v>
      </c>
      <c r="AN14">
        <v>2210.7821234539101</v>
      </c>
      <c r="AO14">
        <v>2210.0299330612002</v>
      </c>
      <c r="AP14">
        <v>2209.2777426685002</v>
      </c>
      <c r="AQ14">
        <v>2261.6493087725698</v>
      </c>
      <c r="AR14">
        <v>2314.0208748766299</v>
      </c>
      <c r="AS14">
        <v>2366.3924409807</v>
      </c>
      <c r="AT14">
        <v>2418.7640070847701</v>
      </c>
      <c r="AU14">
        <v>2464.36520513099</v>
      </c>
      <c r="AV14">
        <v>2509.9664031771999</v>
      </c>
      <c r="AW14">
        <v>2555.5676012234098</v>
      </c>
      <c r="AX14">
        <v>2601.1687992696202</v>
      </c>
    </row>
    <row r="15" spans="1:50" ht="16" x14ac:dyDescent="0.2">
      <c r="B15" s="86" t="s">
        <v>164</v>
      </c>
      <c r="D15">
        <v>1574.4</v>
      </c>
      <c r="E15">
        <v>1828.5</v>
      </c>
      <c r="F15">
        <v>1861.4</v>
      </c>
      <c r="G15">
        <v>1756.2</v>
      </c>
      <c r="H15">
        <v>1805.1</v>
      </c>
      <c r="I15">
        <v>1626.02571860579</v>
      </c>
      <c r="J15">
        <v>1498.53485474677</v>
      </c>
      <c r="K15">
        <v>1511.0876515336199</v>
      </c>
      <c r="L15">
        <v>1512.38995417448</v>
      </c>
      <c r="M15">
        <v>1506.67098308902</v>
      </c>
      <c r="N15">
        <v>1490.44612277592</v>
      </c>
      <c r="O15">
        <v>1509.6382363456501</v>
      </c>
      <c r="P15">
        <v>1519.632602017</v>
      </c>
      <c r="Q15">
        <v>1523.1344557411701</v>
      </c>
      <c r="R15">
        <v>1519.1719481565799</v>
      </c>
      <c r="S15">
        <v>1526.85403734435</v>
      </c>
      <c r="T15">
        <v>1535.4842585346801</v>
      </c>
      <c r="U15">
        <v>1543.71889409799</v>
      </c>
      <c r="V15">
        <v>1552.4850878847999</v>
      </c>
      <c r="W15">
        <v>1588.56945568078</v>
      </c>
      <c r="X15">
        <v>1619.0545895538501</v>
      </c>
      <c r="Y15">
        <v>1642.5093049924999</v>
      </c>
      <c r="Z15">
        <v>1659.6122355130899</v>
      </c>
      <c r="AA15">
        <v>1667.5840444722401</v>
      </c>
      <c r="AB15">
        <v>1678.2535698161801</v>
      </c>
      <c r="AC15">
        <v>1690.72593660438</v>
      </c>
      <c r="AD15">
        <v>1705.4065311059101</v>
      </c>
      <c r="AE15">
        <v>1718.3411123951701</v>
      </c>
      <c r="AF15">
        <v>1730.9634667895</v>
      </c>
      <c r="AG15">
        <v>1742.36951186696</v>
      </c>
      <c r="AH15">
        <v>1753.0170548379899</v>
      </c>
      <c r="AI15">
        <v>1784.68057949284</v>
      </c>
      <c r="AJ15">
        <v>1812.35462710207</v>
      </c>
      <c r="AK15">
        <v>1835.2404610671999</v>
      </c>
      <c r="AL15">
        <v>1853.72632303349</v>
      </c>
      <c r="AM15">
        <v>1827.9445084856</v>
      </c>
      <c r="AN15">
        <v>1814.12430186748</v>
      </c>
      <c r="AO15">
        <v>1812.0047939040101</v>
      </c>
      <c r="AP15">
        <v>1821.6729233342801</v>
      </c>
      <c r="AQ15">
        <v>1878.9537705036</v>
      </c>
      <c r="AR15">
        <v>1923.8123987378101</v>
      </c>
      <c r="AS15">
        <v>1957.3525310479299</v>
      </c>
      <c r="AT15">
        <v>1978.92921847087</v>
      </c>
      <c r="AU15">
        <v>1939.9220024117999</v>
      </c>
      <c r="AV15">
        <v>1901.58652711119</v>
      </c>
      <c r="AW15">
        <v>1865.3788410586801</v>
      </c>
      <c r="AX15">
        <v>1830.5610473035799</v>
      </c>
    </row>
    <row r="16" spans="1:50" ht="16" x14ac:dyDescent="0.2">
      <c r="B16" s="86" t="s">
        <v>167</v>
      </c>
      <c r="D16">
        <v>74.5</v>
      </c>
      <c r="E16">
        <v>1085.9000000000001</v>
      </c>
      <c r="F16">
        <v>1212.9000000000001</v>
      </c>
      <c r="G16">
        <v>609.79999999999995</v>
      </c>
      <c r="H16">
        <v>402.7</v>
      </c>
      <c r="I16">
        <v>404.58725618885501</v>
      </c>
      <c r="J16">
        <v>406.51787384375598</v>
      </c>
      <c r="K16">
        <v>408.48772330127002</v>
      </c>
      <c r="L16">
        <v>410.48028590766501</v>
      </c>
      <c r="M16">
        <v>412.46045952376102</v>
      </c>
      <c r="N16">
        <v>414.40966066410999</v>
      </c>
      <c r="O16">
        <v>416.34647281415999</v>
      </c>
      <c r="P16">
        <v>418.27915530077701</v>
      </c>
      <c r="Q16">
        <v>420.21803228254402</v>
      </c>
      <c r="R16">
        <v>422.17549274975897</v>
      </c>
      <c r="S16">
        <v>424.15153670242199</v>
      </c>
      <c r="T16">
        <v>426.13996964538399</v>
      </c>
      <c r="U16">
        <v>428.12427292491299</v>
      </c>
      <c r="V16">
        <v>430.11477069959199</v>
      </c>
      <c r="W16">
        <v>432.10939813770301</v>
      </c>
      <c r="X16">
        <v>434.10196074409799</v>
      </c>
      <c r="Y16">
        <v>436.069745369896</v>
      </c>
      <c r="Z16">
        <v>438.02307617367802</v>
      </c>
      <c r="AA16">
        <v>439.96195315544497</v>
      </c>
      <c r="AB16">
        <v>441.88844114691199</v>
      </c>
      <c r="AC16">
        <v>443.79634565293202</v>
      </c>
      <c r="AD16">
        <v>445.70218532723499</v>
      </c>
      <c r="AE16">
        <v>447.61008983325502</v>
      </c>
      <c r="AF16">
        <v>449.52005917099098</v>
      </c>
      <c r="AG16">
        <v>451.432093340444</v>
      </c>
      <c r="AH16">
        <v>453.35651650019503</v>
      </c>
      <c r="AI16">
        <v>455.28506932337899</v>
      </c>
      <c r="AJ16">
        <v>457.22188147343002</v>
      </c>
      <c r="AK16">
        <v>459.18347160407802</v>
      </c>
      <c r="AL16">
        <v>461.16571005189002</v>
      </c>
      <c r="AM16">
        <v>463.17066164858397</v>
      </c>
      <c r="AN16">
        <v>465.19419673072599</v>
      </c>
      <c r="AO16">
        <v>467.23218563488302</v>
      </c>
      <c r="AP16">
        <v>469.26810970732402</v>
      </c>
      <c r="AQ16">
        <v>471.29990411633202</v>
      </c>
      <c r="AR16">
        <v>473.333763357056</v>
      </c>
      <c r="AS16">
        <v>475.36762259778101</v>
      </c>
      <c r="AT16">
        <v>477.40148183850499</v>
      </c>
      <c r="AU16">
        <v>479.44153557437897</v>
      </c>
      <c r="AV16">
        <v>481.483654141969</v>
      </c>
      <c r="AW16">
        <v>483.52990237299298</v>
      </c>
      <c r="AX16">
        <v>485.57408577230001</v>
      </c>
    </row>
    <row r="17" spans="1:50" x14ac:dyDescent="0.2">
      <c r="B17" t="s">
        <v>193</v>
      </c>
      <c r="D17">
        <v>204.37100000000001</v>
      </c>
      <c r="E17">
        <v>884.26</v>
      </c>
      <c r="F17">
        <v>242.12799999999999</v>
      </c>
      <c r="G17">
        <v>225.90700000000001</v>
      </c>
      <c r="H17">
        <v>262.43700000000001</v>
      </c>
      <c r="I17">
        <v>257.26599192779503</v>
      </c>
      <c r="J17">
        <v>256.21510964215298</v>
      </c>
      <c r="K17">
        <v>258.57067876132402</v>
      </c>
      <c r="L17">
        <v>261.16279192979499</v>
      </c>
      <c r="M17">
        <v>263.64812783386702</v>
      </c>
      <c r="N17">
        <v>266.14790345036999</v>
      </c>
      <c r="O17">
        <v>268.70569902244898</v>
      </c>
      <c r="P17">
        <v>271.263979862962</v>
      </c>
      <c r="Q17">
        <v>273.87029090685002</v>
      </c>
      <c r="R17">
        <v>276.52404959205398</v>
      </c>
      <c r="S17">
        <v>279.241851093381</v>
      </c>
      <c r="T17">
        <v>282.01341480314198</v>
      </c>
      <c r="U17">
        <v>284.80517467007598</v>
      </c>
      <c r="V17">
        <v>287.63108074839698</v>
      </c>
      <c r="W17">
        <v>290.48769997414701</v>
      </c>
      <c r="X17">
        <v>293.35698461687701</v>
      </c>
      <c r="Y17">
        <v>296.24247817884799</v>
      </c>
      <c r="Z17">
        <v>299.141687420886</v>
      </c>
      <c r="AA17">
        <v>302.06412655786397</v>
      </c>
      <c r="AB17">
        <v>305.00651687838598</v>
      </c>
      <c r="AC17">
        <v>307.96222864379001</v>
      </c>
      <c r="AD17">
        <v>310.94750852538402</v>
      </c>
      <c r="AE17">
        <v>313.96057691901501</v>
      </c>
      <c r="AF17">
        <v>317.00404921601302</v>
      </c>
      <c r="AG17">
        <v>320.073239044574</v>
      </c>
      <c r="AH17">
        <v>323.17807216575801</v>
      </c>
      <c r="AI17">
        <v>326.31295874724299</v>
      </c>
      <c r="AJ17">
        <v>329.463709405131</v>
      </c>
      <c r="AK17">
        <v>332.64972837101499</v>
      </c>
      <c r="AL17">
        <v>335.86834196641502</v>
      </c>
      <c r="AM17">
        <v>339.121324982229</v>
      </c>
      <c r="AN17">
        <v>342.39838413451798</v>
      </c>
      <c r="AO17">
        <v>345.70422750703898</v>
      </c>
      <c r="AP17">
        <v>349.026833190491</v>
      </c>
      <c r="AQ17">
        <v>352.367229319003</v>
      </c>
      <c r="AR17">
        <v>355.72749945931002</v>
      </c>
      <c r="AS17">
        <v>359.10614883079597</v>
      </c>
      <c r="AT17">
        <v>362.50321043732498</v>
      </c>
      <c r="AU17">
        <v>365.92601973505901</v>
      </c>
      <c r="AV17">
        <v>369.36895353582298</v>
      </c>
      <c r="AW17">
        <v>372.83889502770398</v>
      </c>
      <c r="AX17">
        <v>376.32595184241501</v>
      </c>
    </row>
    <row r="19" spans="1:50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9" x14ac:dyDescent="0.2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2">
      <c r="B21" t="s">
        <v>182</v>
      </c>
      <c r="D21" s="102"/>
      <c r="E21" s="104">
        <f>main!L112/1000</f>
        <v>156.18299999999999</v>
      </c>
      <c r="F21" s="104">
        <f>main!M112/1000</f>
        <v>197.631</v>
      </c>
      <c r="G21" s="104">
        <f>main!N112/1000</f>
        <v>170.23500000000001</v>
      </c>
      <c r="H21" s="104">
        <f>main!O112/1000</f>
        <v>171.256</v>
      </c>
      <c r="I21" s="104">
        <f>main!P112/1000</f>
        <v>182.35062108169706</v>
      </c>
      <c r="J21" s="104">
        <f>main!Q112/1000</f>
        <v>182.35062108169706</v>
      </c>
      <c r="K21" s="104">
        <f>main!R112/1000</f>
        <v>182.35062108169706</v>
      </c>
      <c r="L21" s="104">
        <f>main!S112/1000</f>
        <v>182.35062108169706</v>
      </c>
      <c r="M21" s="104">
        <f>main!T112/1000</f>
        <v>224.43153363901172</v>
      </c>
      <c r="N21" s="104">
        <f>main!U112/1000</f>
        <v>224.43153363901172</v>
      </c>
      <c r="O21" s="104">
        <f>main!V112/1000</f>
        <v>224.43153363901172</v>
      </c>
      <c r="P21" s="104">
        <f>O21*(1+P23)</f>
        <v>221.97386069442777</v>
      </c>
      <c r="Q21" s="104">
        <f t="shared" ref="Q21:AA21" si="0">P21*(1+Q23)</f>
        <v>219.51618774984507</v>
      </c>
      <c r="R21" s="104">
        <f t="shared" si="0"/>
        <v>217.0585148052611</v>
      </c>
      <c r="S21" s="104">
        <f t="shared" si="0"/>
        <v>218.34223713695627</v>
      </c>
      <c r="T21" s="104">
        <f t="shared" si="0"/>
        <v>219.62595946865144</v>
      </c>
      <c r="U21" s="104">
        <f t="shared" si="0"/>
        <v>220.90968180034659</v>
      </c>
      <c r="V21" s="104">
        <f t="shared" si="0"/>
        <v>222.19340413204174</v>
      </c>
      <c r="W21" s="104">
        <f t="shared" si="0"/>
        <v>225.49538156308662</v>
      </c>
      <c r="X21" s="104">
        <f t="shared" si="0"/>
        <v>228.79735899413026</v>
      </c>
      <c r="Y21" s="104">
        <f t="shared" si="0"/>
        <v>232.09933642517512</v>
      </c>
      <c r="Z21" s="104">
        <f t="shared" si="0"/>
        <v>235.40131385621879</v>
      </c>
      <c r="AA21" s="104">
        <f t="shared" si="0"/>
        <v>238.68961119366364</v>
      </c>
      <c r="AB21" s="95"/>
    </row>
    <row r="22" spans="1:50" x14ac:dyDescent="0.2">
      <c r="B22" t="s">
        <v>175</v>
      </c>
      <c r="D22" s="102" t="e">
        <f>#REF!</f>
        <v>#REF!</v>
      </c>
      <c r="E22" s="104">
        <f>E10</f>
        <v>156.16</v>
      </c>
      <c r="F22" s="104">
        <f t="shared" ref="F22:AA22" si="1">F10</f>
        <v>197.62799999999999</v>
      </c>
      <c r="G22" s="104">
        <f t="shared" si="1"/>
        <v>170.20699999999999</v>
      </c>
      <c r="H22" s="104">
        <f t="shared" si="1"/>
        <v>171.23699999999999</v>
      </c>
      <c r="I22" s="104">
        <f t="shared" si="1"/>
        <v>175.56274099593</v>
      </c>
      <c r="J22" s="104">
        <f t="shared" si="1"/>
        <v>179.888481991861</v>
      </c>
      <c r="K22" s="104">
        <f t="shared" si="1"/>
        <v>180.49888383554401</v>
      </c>
      <c r="L22" s="104">
        <f t="shared" si="1"/>
        <v>181.10928567922701</v>
      </c>
      <c r="M22" s="104">
        <f t="shared" si="1"/>
        <v>181.71968752290999</v>
      </c>
      <c r="N22" s="104">
        <f t="shared" si="1"/>
        <v>182.330089366593</v>
      </c>
      <c r="O22" s="104">
        <f t="shared" si="1"/>
        <v>180.35508255879</v>
      </c>
      <c r="P22" s="104">
        <f t="shared" si="1"/>
        <v>178.38007575098601</v>
      </c>
      <c r="Q22" s="104">
        <f t="shared" si="1"/>
        <v>176.40506894318301</v>
      </c>
      <c r="R22" s="104">
        <f t="shared" si="1"/>
        <v>174.43006213537899</v>
      </c>
      <c r="S22" s="104">
        <f t="shared" si="1"/>
        <v>175.461672281072</v>
      </c>
      <c r="T22" s="104">
        <f t="shared" si="1"/>
        <v>176.49328242676501</v>
      </c>
      <c r="U22" s="104">
        <f t="shared" si="1"/>
        <v>177.52489257245799</v>
      </c>
      <c r="V22" s="104">
        <f t="shared" si="1"/>
        <v>178.55650271815099</v>
      </c>
      <c r="W22" s="104">
        <f t="shared" si="1"/>
        <v>181.209999767016</v>
      </c>
      <c r="X22" s="104">
        <f t="shared" si="1"/>
        <v>183.86349681588001</v>
      </c>
      <c r="Y22" s="104">
        <f t="shared" si="1"/>
        <v>186.51699386474499</v>
      </c>
      <c r="Z22" s="104">
        <f t="shared" si="1"/>
        <v>189.170490913609</v>
      </c>
      <c r="AA22" s="104">
        <f t="shared" si="1"/>
        <v>191.81299452331399</v>
      </c>
      <c r="AB22" s="95"/>
    </row>
    <row r="23" spans="1:50" s="170" customFormat="1" ht="12" x14ac:dyDescent="0.15">
      <c r="B23" s="210" t="s">
        <v>271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-1.0832039926399917E-2</v>
      </c>
      <c r="P23" s="230">
        <f t="shared" ref="P23" si="4">(P22/O22)-1</f>
        <v>-1.0950657889889026E-2</v>
      </c>
      <c r="Q23" s="230">
        <f t="shared" ref="Q23" si="5">(Q22/P22)-1</f>
        <v>-1.1071902506421538E-2</v>
      </c>
      <c r="R23" s="230">
        <f t="shared" ref="R23" si="6">(R22/Q22)-1</f>
        <v>-1.1195861998955059E-2</v>
      </c>
      <c r="S23" s="246">
        <f t="shared" ref="S23" si="7">(S22/R22)-1</f>
        <v>5.9141763355696764E-3</v>
      </c>
      <c r="T23" s="230">
        <f t="shared" ref="T23" si="8">(T22/S22)-1</f>
        <v>5.8794045006049789E-3</v>
      </c>
      <c r="U23" s="230">
        <f t="shared" ref="U23" si="9">(U22/T22)-1</f>
        <v>5.8450391511135624E-3</v>
      </c>
      <c r="V23" s="230">
        <f t="shared" ref="V23" si="10">(V22/U22)-1</f>
        <v>5.8110732007452537E-3</v>
      </c>
      <c r="W23" s="246">
        <f t="shared" ref="W23" si="11">(W22/V22)-1</f>
        <v>1.4860825612458939E-2</v>
      </c>
      <c r="X23" s="230">
        <f t="shared" ref="X23" si="12">(X22/W22)-1</f>
        <v>1.4643215342837745E-2</v>
      </c>
      <c r="Y23" s="230">
        <f t="shared" ref="Y23" si="13">(Y22/X22)-1</f>
        <v>1.4431886126489601E-2</v>
      </c>
      <c r="Z23" s="230">
        <f t="shared" ref="Z23" si="14">(Z22/Y22)-1</f>
        <v>1.4226569889863372E-2</v>
      </c>
      <c r="AA23" s="246">
        <f t="shared" ref="AA23" si="15">(AA22/Z22)-1</f>
        <v>1.3968899678501012E-2</v>
      </c>
      <c r="AB23" s="243"/>
    </row>
    <row r="24" spans="1:50" s="97" customFormat="1" x14ac:dyDescent="0.2">
      <c r="B24" s="99" t="s">
        <v>176</v>
      </c>
      <c r="D24" s="103"/>
      <c r="E24" s="217"/>
      <c r="F24" s="217">
        <f t="shared" ref="F24" si="16">F21-F22</f>
        <v>3.0000000000143245E-3</v>
      </c>
      <c r="G24" s="150">
        <f t="shared" ref="G24" si="17">G21-G22</f>
        <v>2.8000000000020009E-2</v>
      </c>
      <c r="H24" s="217">
        <f t="shared" ref="H24" si="18">H21-H22</f>
        <v>1.9000000000005457E-2</v>
      </c>
      <c r="I24" s="217">
        <f t="shared" ref="I24" si="19">I21-I22</f>
        <v>6.7878800857670569</v>
      </c>
      <c r="J24" s="217">
        <f t="shared" ref="J24" si="20">J21-J22</f>
        <v>2.4621390898360573</v>
      </c>
      <c r="K24" s="150">
        <f t="shared" ref="K24:AA24" si="21">K21-K22</f>
        <v>1.8517372461530499</v>
      </c>
      <c r="L24" s="217">
        <f t="shared" si="21"/>
        <v>1.2413354024700425</v>
      </c>
      <c r="M24" s="239">
        <f t="shared" si="21"/>
        <v>42.711846116101725</v>
      </c>
      <c r="N24" s="217">
        <f t="shared" si="21"/>
        <v>42.101444272418718</v>
      </c>
      <c r="O24" s="150">
        <f t="shared" si="21"/>
        <v>44.076451080221716</v>
      </c>
      <c r="P24" s="217">
        <f t="shared" si="21"/>
        <v>43.593784943441761</v>
      </c>
      <c r="Q24" s="217">
        <f t="shared" si="21"/>
        <v>43.111118806662063</v>
      </c>
      <c r="R24" s="217">
        <f t="shared" si="21"/>
        <v>42.628452669882108</v>
      </c>
      <c r="S24" s="150">
        <f t="shared" si="21"/>
        <v>42.880564855884273</v>
      </c>
      <c r="T24" s="217">
        <f t="shared" si="21"/>
        <v>43.132677041886438</v>
      </c>
      <c r="U24" s="217">
        <f t="shared" si="21"/>
        <v>43.384789227888604</v>
      </c>
      <c r="V24" s="217">
        <f t="shared" si="21"/>
        <v>43.63690141389074</v>
      </c>
      <c r="W24" s="150">
        <f t="shared" si="21"/>
        <v>44.285381796070624</v>
      </c>
      <c r="X24" s="217">
        <f t="shared" si="21"/>
        <v>44.933862178250251</v>
      </c>
      <c r="Y24" s="217">
        <f t="shared" si="21"/>
        <v>45.582342560430135</v>
      </c>
      <c r="Z24" s="217">
        <f t="shared" si="21"/>
        <v>46.230822942609791</v>
      </c>
      <c r="AA24" s="150">
        <f t="shared" si="21"/>
        <v>46.876616670349648</v>
      </c>
      <c r="AB24" s="244"/>
    </row>
    <row r="25" spans="1:50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9" x14ac:dyDescent="0.2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2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181.84899999999999</v>
      </c>
      <c r="H28" s="104">
        <f>main!O113/1000</f>
        <v>205.904</v>
      </c>
      <c r="I28" s="104">
        <f>main!P113/1000</f>
        <v>145.87565218125005</v>
      </c>
      <c r="J28" s="104">
        <f>main!Q113/1000</f>
        <v>146.60503044215625</v>
      </c>
      <c r="K28" s="104">
        <f>main!R113/1000</f>
        <v>147.70456817047238</v>
      </c>
      <c r="L28" s="104">
        <f>main!S113/1000</f>
        <v>149.18161385217715</v>
      </c>
      <c r="M28" s="104">
        <f>L28*(1 + M30)</f>
        <v>159.56086992867171</v>
      </c>
      <c r="N28" s="104">
        <f t="shared" ref="N28:AA28" si="22">M28*(1 + N30)</f>
        <v>169.1802316908466</v>
      </c>
      <c r="O28" s="104">
        <f t="shared" si="22"/>
        <v>187.14752854527001</v>
      </c>
      <c r="P28" s="104">
        <f t="shared" si="22"/>
        <v>204.26965510768184</v>
      </c>
      <c r="Q28" s="104">
        <f t="shared" si="22"/>
        <v>221.51611495020876</v>
      </c>
      <c r="R28" s="104">
        <f t="shared" si="22"/>
        <v>238.75342147263223</v>
      </c>
      <c r="S28" s="104">
        <f t="shared" si="22"/>
        <v>245.71426025906086</v>
      </c>
      <c r="T28" s="104">
        <f t="shared" si="22"/>
        <v>253.04104358203412</v>
      </c>
      <c r="U28" s="104">
        <f t="shared" si="22"/>
        <v>260.70050375641284</v>
      </c>
      <c r="V28" s="104">
        <f t="shared" si="22"/>
        <v>267.89421633882517</v>
      </c>
      <c r="W28" s="104">
        <f t="shared" si="22"/>
        <v>268.84797978060283</v>
      </c>
      <c r="X28" s="104">
        <f t="shared" si="22"/>
        <v>269.76847553723962</v>
      </c>
      <c r="Y28" s="104">
        <f t="shared" si="22"/>
        <v>270.65570360873642</v>
      </c>
      <c r="Z28" s="104">
        <f t="shared" si="22"/>
        <v>271.54293168023412</v>
      </c>
      <c r="AA28" s="104">
        <f t="shared" si="22"/>
        <v>272.46907282700522</v>
      </c>
      <c r="AB28" s="95"/>
    </row>
    <row r="29" spans="1:50" x14ac:dyDescent="0.2">
      <c r="B29" t="s">
        <v>175</v>
      </c>
      <c r="D29" s="102" t="e">
        <f>#REF!</f>
        <v>#REF!</v>
      </c>
      <c r="E29" s="104">
        <f>E11</f>
        <v>143.4</v>
      </c>
      <c r="F29" s="104">
        <f t="shared" ref="F29:U29" si="23">F11</f>
        <v>144.80000000000001</v>
      </c>
      <c r="G29" s="104">
        <f t="shared" si="23"/>
        <v>145.19999999999999</v>
      </c>
      <c r="H29" s="104">
        <f t="shared" si="23"/>
        <v>145.9</v>
      </c>
      <c r="I29" s="104">
        <f t="shared" si="23"/>
        <v>148.62099511391199</v>
      </c>
      <c r="J29" s="104">
        <f t="shared" si="23"/>
        <v>147.797019737607</v>
      </c>
      <c r="K29" s="104">
        <f t="shared" si="23"/>
        <v>159.24265611122399</v>
      </c>
      <c r="L29" s="104">
        <f t="shared" si="23"/>
        <v>170.909193879409</v>
      </c>
      <c r="M29" s="104">
        <f t="shared" si="23"/>
        <v>182.80013836844901</v>
      </c>
      <c r="N29" s="104">
        <f t="shared" si="23"/>
        <v>193.82051361413301</v>
      </c>
      <c r="O29" s="104">
        <f t="shared" si="23"/>
        <v>214.404660294731</v>
      </c>
      <c r="P29" s="104">
        <f t="shared" si="23"/>
        <v>234.02054172086099</v>
      </c>
      <c r="Q29" s="104">
        <f t="shared" si="23"/>
        <v>253.77886496758899</v>
      </c>
      <c r="R29" s="104">
        <f t="shared" si="23"/>
        <v>273.52670175744203</v>
      </c>
      <c r="S29" s="104">
        <f t="shared" si="23"/>
        <v>281.50135302305898</v>
      </c>
      <c r="T29" s="104">
        <f t="shared" si="23"/>
        <v>289.89524687581797</v>
      </c>
      <c r="U29" s="104">
        <f t="shared" si="23"/>
        <v>298.67027035325299</v>
      </c>
      <c r="V29" s="104">
        <f t="shared" ref="V29:AA29" si="24">V11</f>
        <v>306.91171235614303</v>
      </c>
      <c r="W29" s="104">
        <f t="shared" si="24"/>
        <v>308.00438682705601</v>
      </c>
      <c r="X29" s="104">
        <f t="shared" si="24"/>
        <v>309.05894833550099</v>
      </c>
      <c r="Y29" s="104">
        <f t="shared" si="24"/>
        <v>310.07539688147898</v>
      </c>
      <c r="Z29" s="104">
        <f t="shared" si="24"/>
        <v>311.091845427458</v>
      </c>
      <c r="AA29" s="104">
        <f t="shared" si="24"/>
        <v>312.15287454978699</v>
      </c>
      <c r="AB29" s="95"/>
    </row>
    <row r="30" spans="1:50" s="170" customFormat="1" ht="12" x14ac:dyDescent="0.15">
      <c r="B30" s="210" t="s">
        <v>271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5">(M29/L29)-1</f>
        <v>6.9574633284094078E-2</v>
      </c>
      <c r="N30" s="230">
        <f t="shared" ref="N30" si="26">(N29/M29)-1</f>
        <v>6.0286471028109911E-2</v>
      </c>
      <c r="O30" s="246">
        <f t="shared" ref="O30" si="27">(O29/N29)-1</f>
        <v>0.10620210573571121</v>
      </c>
      <c r="P30" s="230">
        <f t="shared" ref="P30" si="28">(P29/O29)-1</f>
        <v>9.1489995596014895E-2</v>
      </c>
      <c r="Q30" s="230">
        <f t="shared" ref="Q30" si="29">(Q29/P29)-1</f>
        <v>8.4429867145148663E-2</v>
      </c>
      <c r="R30" s="230">
        <f t="shared" ref="R30" si="30">(R29/Q29)-1</f>
        <v>7.7815135599944796E-2</v>
      </c>
      <c r="S30" s="246">
        <f t="shared" ref="S30" si="31">(S29/R29)-1</f>
        <v>2.9154927889594839E-2</v>
      </c>
      <c r="T30" s="230">
        <f t="shared" ref="T30" si="32">(T29/S29)-1</f>
        <v>2.9818307310485404E-2</v>
      </c>
      <c r="U30" s="230">
        <f t="shared" ref="U30" si="33">(U29/T29)-1</f>
        <v>3.0269635573549003E-2</v>
      </c>
      <c r="V30" s="230">
        <f t="shared" ref="V30" si="34">(V29/U29)-1</f>
        <v>2.7593780904749732E-2</v>
      </c>
      <c r="W30" s="246">
        <f t="shared" ref="W30" si="35">(W29/V29)-1</f>
        <v>3.5602240870007407E-3</v>
      </c>
      <c r="X30" s="230">
        <f t="shared" ref="X30" si="36">(X29/W29)-1</f>
        <v>3.4238522357057377E-3</v>
      </c>
      <c r="Y30" s="230">
        <f t="shared" ref="Y30" si="37">(Y29/X29)-1</f>
        <v>3.2888500768293305E-3</v>
      </c>
      <c r="Z30" s="230">
        <f t="shared" ref="Z30" si="38">(Z29/Y29)-1</f>
        <v>3.278068999352346E-3</v>
      </c>
      <c r="AA30" s="246">
        <f t="shared" ref="AA30" si="39">(AA29/Z29)-1</f>
        <v>3.4106619569891361E-3</v>
      </c>
      <c r="AB30" s="243"/>
    </row>
    <row r="31" spans="1:50" s="97" customFormat="1" x14ac:dyDescent="0.2">
      <c r="B31" s="99" t="s">
        <v>176</v>
      </c>
      <c r="D31" s="103"/>
      <c r="E31" s="217"/>
      <c r="F31" s="217">
        <f t="shared" ref="F31" si="40">F28-F29</f>
        <v>185.97699999999998</v>
      </c>
      <c r="G31" s="150">
        <f t="shared" ref="G31" si="41">G28-G29</f>
        <v>36.649000000000001</v>
      </c>
      <c r="H31" s="217">
        <f t="shared" ref="H31" si="42">H28-H29</f>
        <v>60.003999999999991</v>
      </c>
      <c r="I31" s="217">
        <f t="shared" ref="I31" si="43">I28-I29</f>
        <v>-2.7453429326619414</v>
      </c>
      <c r="J31" s="217">
        <f t="shared" ref="J31" si="44">J28-J29</f>
        <v>-1.1919892954507532</v>
      </c>
      <c r="K31" s="150">
        <f t="shared" ref="K31:N31" si="45">K28-K29</f>
        <v>-11.538087940751609</v>
      </c>
      <c r="L31" s="239">
        <f t="shared" si="45"/>
        <v>-21.727580027231852</v>
      </c>
      <c r="M31" s="217">
        <f t="shared" si="45"/>
        <v>-23.239268439777305</v>
      </c>
      <c r="N31" s="217">
        <f t="shared" si="45"/>
        <v>-24.640281923286409</v>
      </c>
      <c r="O31" s="150">
        <f t="shared" ref="O31:AA31" si="46">O28-O29</f>
        <v>-27.257131749460996</v>
      </c>
      <c r="P31" s="150">
        <f t="shared" si="46"/>
        <v>-29.750886613179148</v>
      </c>
      <c r="Q31" s="150">
        <f t="shared" si="46"/>
        <v>-32.262750017380228</v>
      </c>
      <c r="R31" s="150">
        <f t="shared" si="46"/>
        <v>-34.7732802848098</v>
      </c>
      <c r="S31" s="150">
        <f t="shared" si="46"/>
        <v>-35.787092763998118</v>
      </c>
      <c r="T31" s="150">
        <f t="shared" si="46"/>
        <v>-36.854203293783854</v>
      </c>
      <c r="U31" s="150">
        <f t="shared" si="46"/>
        <v>-37.969766596840145</v>
      </c>
      <c r="V31" s="150">
        <f t="shared" si="46"/>
        <v>-39.017496017317853</v>
      </c>
      <c r="W31" s="150">
        <f t="shared" si="46"/>
        <v>-39.156407046453182</v>
      </c>
      <c r="X31" s="150">
        <f t="shared" si="46"/>
        <v>-39.290472798261362</v>
      </c>
      <c r="Y31" s="150">
        <f t="shared" si="46"/>
        <v>-39.419693272742563</v>
      </c>
      <c r="Z31" s="150">
        <f t="shared" si="46"/>
        <v>-39.548913747223878</v>
      </c>
      <c r="AA31" s="150">
        <f t="shared" si="46"/>
        <v>-39.683801722781766</v>
      </c>
      <c r="AB31" s="244"/>
    </row>
    <row r="32" spans="1:50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0</v>
      </c>
      <c r="H35" s="104">
        <f>main!O26</f>
        <v>0</v>
      </c>
      <c r="I35" s="104">
        <f>main!P26</f>
        <v>1957.5073583056076</v>
      </c>
      <c r="J35" s="104">
        <f>main!Q26</f>
        <v>1985.8481141737871</v>
      </c>
      <c r="K35" s="149">
        <f>main!R26</f>
        <v>2012.2468720647662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175</v>
      </c>
      <c r="D36" s="102" t="e">
        <f>#REF!</f>
        <v>#REF!</v>
      </c>
      <c r="E36" s="104">
        <f>E12</f>
        <v>1779.8</v>
      </c>
      <c r="F36" s="104">
        <f t="shared" ref="F36:K36" si="47">F12</f>
        <v>1871.3</v>
      </c>
      <c r="G36" s="104">
        <f t="shared" si="47"/>
        <v>1907.1</v>
      </c>
      <c r="H36" s="104">
        <f t="shared" si="47"/>
        <v>1965.1</v>
      </c>
      <c r="I36" s="104">
        <f t="shared" si="47"/>
        <v>1985.2448178335901</v>
      </c>
      <c r="J36" s="104">
        <f t="shared" si="47"/>
        <v>2013.98715613545</v>
      </c>
      <c r="K36" s="104">
        <f t="shared" si="47"/>
        <v>2040.75997876518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8">G35-G36</f>
        <v>-1907.1</v>
      </c>
      <c r="H37" s="217">
        <f t="shared" si="48"/>
        <v>-1965.1</v>
      </c>
      <c r="I37" s="217">
        <f t="shared" si="48"/>
        <v>-27.737459527982537</v>
      </c>
      <c r="J37" s="217">
        <f t="shared" si="48"/>
        <v>-28.139041961662997</v>
      </c>
      <c r="K37" s="150">
        <f t="shared" si="48"/>
        <v>-28.5131067004138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91.58216652574599</v>
      </c>
      <c r="H41" s="104">
        <f>main!O30</f>
        <v>93.994992985456051</v>
      </c>
      <c r="I41" s="104">
        <f>main!P30</f>
        <v>94.958563292800008</v>
      </c>
      <c r="J41" s="104">
        <f>main!Q30</f>
        <v>96.333371642028268</v>
      </c>
      <c r="K41" s="149">
        <f>main!R30</f>
        <v>97.613973787101031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175</v>
      </c>
      <c r="D42" s="102" t="e">
        <f>#REF!</f>
        <v>#REF!</v>
      </c>
      <c r="E42" s="104">
        <f>E13</f>
        <v>54.2</v>
      </c>
      <c r="F42" s="104">
        <f t="shared" ref="F42:K42" si="49">F13</f>
        <v>90.2</v>
      </c>
      <c r="G42" s="104">
        <f t="shared" si="49"/>
        <v>95.9</v>
      </c>
      <c r="H42" s="104">
        <f t="shared" si="49"/>
        <v>96.6</v>
      </c>
      <c r="I42" s="104">
        <f t="shared" si="49"/>
        <v>97.590275000114403</v>
      </c>
      <c r="J42" s="104">
        <f t="shared" si="49"/>
        <v>99.003185223491897</v>
      </c>
      <c r="K42" s="104">
        <f t="shared" si="49"/>
        <v>100.319278382126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176</v>
      </c>
      <c r="D43" s="103"/>
      <c r="E43" s="217"/>
      <c r="F43" s="217">
        <f>F41-F42</f>
        <v>0</v>
      </c>
      <c r="G43" s="150">
        <f t="shared" ref="G43:K43" si="50">G41-G42</f>
        <v>-4.3178334742540159</v>
      </c>
      <c r="H43" s="217">
        <f t="shared" si="50"/>
        <v>-2.6050070145439435</v>
      </c>
      <c r="I43" s="217">
        <f t="shared" si="50"/>
        <v>-2.6317117073143947</v>
      </c>
      <c r="J43" s="217">
        <f t="shared" si="50"/>
        <v>-2.6698135814636288</v>
      </c>
      <c r="K43" s="150">
        <f t="shared" si="50"/>
        <v>-2.7053045950249697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1403.2670000000001</v>
      </c>
      <c r="I47" s="104">
        <f>main!P95/1000</f>
        <v>1421.8797572941455</v>
      </c>
      <c r="J47" s="223">
        <f>main!Q95/1000</f>
        <v>1444.9365325513459</v>
      </c>
      <c r="K47" s="149">
        <f>J47*(1+K49)</f>
        <v>1476.4530643714609</v>
      </c>
      <c r="L47" s="104">
        <f t="shared" ref="L47:AA47" si="51">K47*(1+L49)</f>
        <v>1507.9695961915656</v>
      </c>
      <c r="M47" s="104">
        <f t="shared" si="51"/>
        <v>1539.48612801167</v>
      </c>
      <c r="N47" s="104">
        <f t="shared" si="51"/>
        <v>1571.0026598317852</v>
      </c>
      <c r="O47" s="149">
        <f t="shared" si="51"/>
        <v>1584.3661861427986</v>
      </c>
      <c r="P47" s="104">
        <f t="shared" si="51"/>
        <v>1597.7297124538018</v>
      </c>
      <c r="Q47" s="104">
        <f t="shared" si="51"/>
        <v>1611.0932387648152</v>
      </c>
      <c r="R47" s="104">
        <f t="shared" si="51"/>
        <v>1624.4567650758283</v>
      </c>
      <c r="S47" s="149">
        <f t="shared" si="51"/>
        <v>1635.4725530953417</v>
      </c>
      <c r="T47" s="104">
        <f t="shared" si="51"/>
        <v>1646.4883411148555</v>
      </c>
      <c r="U47" s="104">
        <f t="shared" si="51"/>
        <v>1657.5041291343584</v>
      </c>
      <c r="V47" s="104">
        <f t="shared" si="51"/>
        <v>1668.5199171538723</v>
      </c>
      <c r="W47" s="149">
        <f t="shared" si="51"/>
        <v>1709.6327256316122</v>
      </c>
      <c r="X47" s="104">
        <f t="shared" si="51"/>
        <v>1750.7455341093626</v>
      </c>
      <c r="Y47" s="104">
        <f t="shared" si="51"/>
        <v>1791.8583425871025</v>
      </c>
      <c r="Z47" s="104">
        <f t="shared" si="51"/>
        <v>1832.9711510648426</v>
      </c>
      <c r="AA47" s="149">
        <f t="shared" si="51"/>
        <v>1863.6126158747145</v>
      </c>
      <c r="AB47" s="95"/>
    </row>
    <row r="48" spans="1:28" x14ac:dyDescent="0.2">
      <c r="B48" t="s">
        <v>175</v>
      </c>
      <c r="D48" s="102" t="e">
        <f>#REF!</f>
        <v>#REF!</v>
      </c>
      <c r="E48" s="104">
        <f>E14</f>
        <v>1336.74</v>
      </c>
      <c r="F48" s="104">
        <f t="shared" ref="F48:AA48" si="52">F14</f>
        <v>1328.7719999999999</v>
      </c>
      <c r="G48" s="104">
        <f t="shared" si="52"/>
        <v>1372.7929999999999</v>
      </c>
      <c r="H48" s="104">
        <f t="shared" si="52"/>
        <v>1403.2629999999999</v>
      </c>
      <c r="I48" s="104">
        <f t="shared" si="52"/>
        <v>1394.63952711825</v>
      </c>
      <c r="J48" s="104">
        <f t="shared" si="52"/>
        <v>1386.0160542364999</v>
      </c>
      <c r="K48" s="104">
        <f t="shared" si="52"/>
        <v>1416.24742986613</v>
      </c>
      <c r="L48" s="104">
        <f t="shared" si="52"/>
        <v>1446.4788054957501</v>
      </c>
      <c r="M48" s="104">
        <f t="shared" si="52"/>
        <v>1476.7101811253699</v>
      </c>
      <c r="N48" s="104">
        <f t="shared" si="52"/>
        <v>1506.941556755</v>
      </c>
      <c r="O48" s="104">
        <f t="shared" si="52"/>
        <v>1519.7601557667999</v>
      </c>
      <c r="P48" s="104">
        <f t="shared" si="52"/>
        <v>1532.5787547785901</v>
      </c>
      <c r="Q48" s="104">
        <f t="shared" si="52"/>
        <v>1545.3973537903901</v>
      </c>
      <c r="R48" s="104">
        <f t="shared" si="52"/>
        <v>1558.21595280219</v>
      </c>
      <c r="S48" s="104">
        <f t="shared" si="52"/>
        <v>1568.7825477363999</v>
      </c>
      <c r="T48" s="104">
        <f t="shared" si="52"/>
        <v>1579.34914267061</v>
      </c>
      <c r="U48" s="104">
        <f t="shared" si="52"/>
        <v>1589.9157376048099</v>
      </c>
      <c r="V48" s="104">
        <f t="shared" si="52"/>
        <v>1600.48233253902</v>
      </c>
      <c r="W48" s="104">
        <f t="shared" si="52"/>
        <v>1639.9186754518</v>
      </c>
      <c r="X48" s="104">
        <f t="shared" si="52"/>
        <v>1679.35501836459</v>
      </c>
      <c r="Y48" s="104">
        <f t="shared" si="52"/>
        <v>1718.79136127737</v>
      </c>
      <c r="Z48" s="104">
        <f t="shared" si="52"/>
        <v>1758.22770419015</v>
      </c>
      <c r="AA48" s="104">
        <f t="shared" si="52"/>
        <v>1787.6196955994999</v>
      </c>
      <c r="AB48" s="95"/>
    </row>
    <row r="49" spans="1:32" s="170" customFormat="1" ht="12" x14ac:dyDescent="0.15">
      <c r="B49" s="210" t="s">
        <v>271</v>
      </c>
      <c r="D49" s="228"/>
      <c r="E49" s="242"/>
      <c r="F49" s="242"/>
      <c r="G49" s="229"/>
      <c r="H49" s="242"/>
      <c r="I49" s="242"/>
      <c r="J49" s="242"/>
      <c r="K49" s="246">
        <f t="shared" ref="K49" si="53">(K48/J48)-1</f>
        <v>2.1811706680615162E-2</v>
      </c>
      <c r="L49" s="230">
        <f t="shared" ref="L49" si="54">(L48/K48)-1</f>
        <v>2.1346111556564518E-2</v>
      </c>
      <c r="M49" s="230">
        <f t="shared" ref="M49" si="55">(M48/L48)-1</f>
        <v>2.0899978288488441E-2</v>
      </c>
      <c r="N49" s="230">
        <f t="shared" ref="N49" si="56">(N48/M48)-1</f>
        <v>2.0472111600525089E-2</v>
      </c>
      <c r="O49" s="246">
        <f t="shared" ref="O49" si="57">(O48/N48)-1</f>
        <v>8.5063677183361275E-3</v>
      </c>
      <c r="P49" s="230">
        <f t="shared" ref="P49" si="58">(P48/O48)-1</f>
        <v>8.4346197412463741E-3</v>
      </c>
      <c r="Q49" s="230">
        <f t="shared" ref="Q49" si="59">(Q48/P48)-1</f>
        <v>8.3640719746580494E-3</v>
      </c>
      <c r="R49" s="230">
        <f t="shared" ref="R49" si="60">(R48/Q48)-1</f>
        <v>8.2946945524138282E-3</v>
      </c>
      <c r="S49" s="246">
        <f t="shared" ref="S49" si="61">(S48/R48)-1</f>
        <v>6.781213422444754E-3</v>
      </c>
      <c r="T49" s="230">
        <f t="shared" ref="T49" si="62">(T48/S48)-1</f>
        <v>6.7355382997196234E-3</v>
      </c>
      <c r="U49" s="230">
        <f t="shared" ref="U49" si="63">(U48/T48)-1</f>
        <v>6.6904743534619282E-3</v>
      </c>
      <c r="V49" s="230">
        <f t="shared" ref="V49" si="64">(V48/U48)-1</f>
        <v>6.6460093980380552E-3</v>
      </c>
      <c r="W49" s="246">
        <f t="shared" ref="W49" si="65">(W48/V48)-1</f>
        <v>2.4640286313075244E-2</v>
      </c>
      <c r="X49" s="230">
        <f t="shared" ref="X49" si="66">(X48/W48)-1</f>
        <v>2.4047743039407266E-2</v>
      </c>
      <c r="Y49" s="230">
        <f t="shared" ref="Y49" si="67">(Y48/X48)-1</f>
        <v>2.3483029187708171E-2</v>
      </c>
      <c r="Z49" s="230">
        <f t="shared" ref="Z49" si="68">(Z48/Y48)-1</f>
        <v>2.2944229184088893E-2</v>
      </c>
      <c r="AA49" s="246">
        <f t="shared" ref="AA49" si="69">(AA48/Z48)-1</f>
        <v>1.6716828735722888E-2</v>
      </c>
      <c r="AB49" s="243"/>
    </row>
    <row r="50" spans="1:32" s="97" customFormat="1" x14ac:dyDescent="0.2">
      <c r="B50" s="99" t="s">
        <v>176</v>
      </c>
      <c r="D50" s="103"/>
      <c r="E50" s="217"/>
      <c r="F50" s="217">
        <f t="shared" ref="F50" si="70">F47-F48</f>
        <v>3.3000000000129148E-2</v>
      </c>
      <c r="G50" s="150">
        <f t="shared" ref="G50" si="71">G47-G48</f>
        <v>-5.9999999998581188E-3</v>
      </c>
      <c r="H50" s="217">
        <f t="shared" ref="H50" si="72">H47-H48</f>
        <v>4.0000000001327862E-3</v>
      </c>
      <c r="I50" s="217">
        <f t="shared" ref="I50" si="73">I47-I48</f>
        <v>27.240230175895476</v>
      </c>
      <c r="J50" s="239">
        <f t="shared" ref="J50" si="74">J47-J48</f>
        <v>58.920478314845923</v>
      </c>
      <c r="K50" s="150">
        <f t="shared" ref="K50:AA50" si="75">K47-K48</f>
        <v>60.205634505330863</v>
      </c>
      <c r="L50" s="217">
        <f t="shared" si="75"/>
        <v>61.490790695815576</v>
      </c>
      <c r="M50" s="217">
        <f t="shared" si="75"/>
        <v>62.775946886300062</v>
      </c>
      <c r="N50" s="217">
        <f t="shared" si="75"/>
        <v>64.06110307678523</v>
      </c>
      <c r="O50" s="150">
        <f t="shared" si="75"/>
        <v>64.606030375998671</v>
      </c>
      <c r="P50" s="217">
        <f t="shared" si="75"/>
        <v>65.150957675211657</v>
      </c>
      <c r="Q50" s="217">
        <f t="shared" si="75"/>
        <v>65.695884974425098</v>
      </c>
      <c r="R50" s="217">
        <f t="shared" si="75"/>
        <v>66.240812273638312</v>
      </c>
      <c r="S50" s="150">
        <f t="shared" si="75"/>
        <v>66.690005358941789</v>
      </c>
      <c r="T50" s="217">
        <f t="shared" si="75"/>
        <v>67.139198444245494</v>
      </c>
      <c r="U50" s="217">
        <f t="shared" si="75"/>
        <v>67.588391529548517</v>
      </c>
      <c r="V50" s="217">
        <f t="shared" si="75"/>
        <v>68.037584614852221</v>
      </c>
      <c r="W50" s="150">
        <f t="shared" si="75"/>
        <v>69.714050179812148</v>
      </c>
      <c r="X50" s="217">
        <f t="shared" si="75"/>
        <v>71.390515744772529</v>
      </c>
      <c r="Y50" s="217">
        <f t="shared" si="75"/>
        <v>73.066981309732455</v>
      </c>
      <c r="Z50" s="217">
        <f t="shared" si="75"/>
        <v>74.743446874692609</v>
      </c>
      <c r="AA50" s="150">
        <f t="shared" si="75"/>
        <v>75.992920275214601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2026.902</v>
      </c>
      <c r="H54" s="104">
        <f>main!O94/1000</f>
        <v>3162.1997350000001</v>
      </c>
      <c r="I54" s="104">
        <f>main!P94/1000</f>
        <v>1918.5942369875002</v>
      </c>
      <c r="J54" s="104">
        <f>main!Q94/1000</f>
        <v>1729.884780210094</v>
      </c>
      <c r="K54" s="263">
        <f>main!R94/1000</f>
        <v>1727.1130519132453</v>
      </c>
      <c r="L54" s="104">
        <f>K54*(1+L56)</f>
        <v>1728.6015320065658</v>
      </c>
      <c r="M54" s="104">
        <f t="shared" ref="M54:AA54" si="76">L54*(1+M56)</f>
        <v>1722.0649756425535</v>
      </c>
      <c r="N54" s="104">
        <f t="shared" si="76"/>
        <v>1703.520605973604</v>
      </c>
      <c r="O54" s="104">
        <f t="shared" si="76"/>
        <v>1725.4564280329271</v>
      </c>
      <c r="P54" s="104">
        <f t="shared" si="76"/>
        <v>1736.8795902691238</v>
      </c>
      <c r="Q54" s="104">
        <f t="shared" si="76"/>
        <v>1740.8820697194501</v>
      </c>
      <c r="R54" s="104">
        <f t="shared" si="76"/>
        <v>1736.3530812384013</v>
      </c>
      <c r="S54" s="104">
        <f t="shared" si="76"/>
        <v>1745.1334034709955</v>
      </c>
      <c r="T54" s="104">
        <f t="shared" si="76"/>
        <v>1754.9974028515674</v>
      </c>
      <c r="U54" s="104">
        <f t="shared" si="76"/>
        <v>1764.4092636027997</v>
      </c>
      <c r="V54" s="104">
        <f t="shared" si="76"/>
        <v>1774.4286742501135</v>
      </c>
      <c r="W54" s="104">
        <f t="shared" si="76"/>
        <v>1815.6716706621512</v>
      </c>
      <c r="X54" s="104">
        <f t="shared" si="76"/>
        <v>1850.5149655220262</v>
      </c>
      <c r="Y54" s="104">
        <f t="shared" si="76"/>
        <v>1877.322771887124</v>
      </c>
      <c r="Z54" s="104">
        <f t="shared" si="76"/>
        <v>1896.8707408603975</v>
      </c>
      <c r="AA54" s="104">
        <f t="shared" si="76"/>
        <v>1905.9822012622701</v>
      </c>
      <c r="AB54" s="95"/>
    </row>
    <row r="55" spans="1:32" x14ac:dyDescent="0.2">
      <c r="B55" t="s">
        <v>175</v>
      </c>
      <c r="D55" s="102" t="e">
        <f>#REF!</f>
        <v>#REF!</v>
      </c>
      <c r="E55" s="104">
        <f>E15</f>
        <v>1828.5</v>
      </c>
      <c r="F55" s="104">
        <f t="shared" ref="F55:AA55" si="77">F15</f>
        <v>1861.4</v>
      </c>
      <c r="G55" s="104">
        <f t="shared" si="77"/>
        <v>1756.2</v>
      </c>
      <c r="H55" s="104">
        <f t="shared" si="77"/>
        <v>1805.1</v>
      </c>
      <c r="I55" s="104">
        <f t="shared" si="77"/>
        <v>1626.02571860579</v>
      </c>
      <c r="J55" s="104">
        <f t="shared" si="77"/>
        <v>1498.53485474677</v>
      </c>
      <c r="K55" s="104">
        <f t="shared" si="77"/>
        <v>1511.0876515336199</v>
      </c>
      <c r="L55" s="104">
        <f t="shared" si="77"/>
        <v>1512.38995417448</v>
      </c>
      <c r="M55" s="104">
        <f t="shared" si="77"/>
        <v>1506.67098308902</v>
      </c>
      <c r="N55" s="104">
        <f t="shared" si="77"/>
        <v>1490.44612277592</v>
      </c>
      <c r="O55" s="104">
        <f t="shared" si="77"/>
        <v>1509.6382363456501</v>
      </c>
      <c r="P55" s="104">
        <f t="shared" si="77"/>
        <v>1519.632602017</v>
      </c>
      <c r="Q55" s="104">
        <f t="shared" si="77"/>
        <v>1523.1344557411701</v>
      </c>
      <c r="R55" s="104">
        <f t="shared" si="77"/>
        <v>1519.1719481565799</v>
      </c>
      <c r="S55" s="104">
        <f t="shared" si="77"/>
        <v>1526.85403734435</v>
      </c>
      <c r="T55" s="104">
        <f t="shared" si="77"/>
        <v>1535.4842585346801</v>
      </c>
      <c r="U55" s="104">
        <f t="shared" si="77"/>
        <v>1543.71889409799</v>
      </c>
      <c r="V55" s="104">
        <f t="shared" si="77"/>
        <v>1552.4850878847999</v>
      </c>
      <c r="W55" s="104">
        <f t="shared" si="77"/>
        <v>1588.56945568078</v>
      </c>
      <c r="X55" s="104">
        <f t="shared" si="77"/>
        <v>1619.0545895538501</v>
      </c>
      <c r="Y55" s="104">
        <f t="shared" si="77"/>
        <v>1642.5093049924999</v>
      </c>
      <c r="Z55" s="104">
        <f t="shared" si="77"/>
        <v>1659.6122355130899</v>
      </c>
      <c r="AA55" s="104">
        <f t="shared" si="77"/>
        <v>1667.5840444722401</v>
      </c>
      <c r="AB55" s="95"/>
    </row>
    <row r="56" spans="1:32" s="170" customFormat="1" ht="12" x14ac:dyDescent="0.15">
      <c r="B56" s="210" t="s">
        <v>271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8">(L55/K55)-1</f>
        <v>8.6183130378847395E-4</v>
      </c>
      <c r="M56" s="230">
        <f t="shared" ref="M56" si="79">(M55/L55)-1</f>
        <v>-3.781413034167902E-3</v>
      </c>
      <c r="N56" s="230">
        <f t="shared" ref="N56" si="80">(N55/M55)-1</f>
        <v>-1.0768681746186726E-2</v>
      </c>
      <c r="O56" s="246">
        <f t="shared" ref="O56" si="81">(O55/N55)-1</f>
        <v>1.287675768781571E-2</v>
      </c>
      <c r="P56" s="230">
        <f t="shared" ref="P56" si="82">(P55/O55)-1</f>
        <v>6.6203713119661334E-3</v>
      </c>
      <c r="Q56" s="230">
        <f t="shared" ref="Q56" si="83">(Q55/P55)-1</f>
        <v>2.304408130966662E-3</v>
      </c>
      <c r="R56" s="230">
        <f t="shared" ref="R56" si="84">(R55/Q55)-1</f>
        <v>-2.6015481231183024E-3</v>
      </c>
      <c r="S56" s="246">
        <f t="shared" ref="S56" si="85">(S55/R55)-1</f>
        <v>5.0567608209799442E-3</v>
      </c>
      <c r="T56" s="230">
        <f t="shared" ref="T56" si="86">(T55/S55)-1</f>
        <v>5.6522895962869413E-3</v>
      </c>
      <c r="U56" s="230">
        <f t="shared" ref="U56" si="87">(U55/T55)-1</f>
        <v>5.3628915552466072E-3</v>
      </c>
      <c r="V56" s="230">
        <f t="shared" ref="V56" si="88">(V55/U55)-1</f>
        <v>5.6786205184928829E-3</v>
      </c>
      <c r="W56" s="246">
        <f t="shared" ref="W56" si="89">(W55/V55)-1</f>
        <v>2.3242972236946713E-2</v>
      </c>
      <c r="X56" s="230">
        <f t="shared" ref="X56" si="90">(X55/W55)-1</f>
        <v>1.9190305947312636E-2</v>
      </c>
      <c r="Y56" s="230">
        <f t="shared" ref="Y56" si="91">(Y55/X55)-1</f>
        <v>1.4486673636565417E-2</v>
      </c>
      <c r="Z56" s="230">
        <f t="shared" ref="Z56" si="92">(Z55/Y55)-1</f>
        <v>1.0412684097803604E-2</v>
      </c>
      <c r="AA56" s="246">
        <f t="shared" ref="AA56" si="93">(AA55/Z55)-1</f>
        <v>4.8034165985078037E-3</v>
      </c>
      <c r="AB56" s="243"/>
    </row>
    <row r="57" spans="1:32" s="97" customFormat="1" x14ac:dyDescent="0.2">
      <c r="B57" s="99" t="s">
        <v>176</v>
      </c>
      <c r="D57" s="103"/>
      <c r="E57" s="217"/>
      <c r="F57" s="217">
        <f t="shared" ref="F57" si="94">F54-F55</f>
        <v>604.60100000000011</v>
      </c>
      <c r="G57" s="150">
        <f t="shared" ref="G57" si="95">G54-G55</f>
        <v>270.702</v>
      </c>
      <c r="H57" s="217">
        <f t="shared" ref="H57" si="96">H54-H55</f>
        <v>1357.0997350000002</v>
      </c>
      <c r="I57" s="217">
        <f t="shared" ref="I57" si="97">I54-I55</f>
        <v>292.56851838171019</v>
      </c>
      <c r="J57" s="217">
        <f t="shared" ref="J57" si="98">J54-J55</f>
        <v>231.3499254633241</v>
      </c>
      <c r="K57" s="264">
        <f t="shared" ref="K57" si="99">K54-K55</f>
        <v>216.02540037962535</v>
      </c>
      <c r="L57" s="217">
        <f t="shared" ref="L57:AA57" si="100">L54-L55</f>
        <v>216.21157783208582</v>
      </c>
      <c r="M57" s="217">
        <f t="shared" si="100"/>
        <v>215.39399255353351</v>
      </c>
      <c r="N57" s="217">
        <f t="shared" si="100"/>
        <v>213.074483197684</v>
      </c>
      <c r="O57" s="150">
        <f t="shared" si="100"/>
        <v>215.81819168727702</v>
      </c>
      <c r="P57" s="217">
        <f t="shared" si="100"/>
        <v>217.24698825212386</v>
      </c>
      <c r="Q57" s="217">
        <f t="shared" si="100"/>
        <v>217.74761397828001</v>
      </c>
      <c r="R57" s="217">
        <f t="shared" si="100"/>
        <v>217.18113308182137</v>
      </c>
      <c r="S57" s="150">
        <f t="shared" si="100"/>
        <v>218.27936612664553</v>
      </c>
      <c r="T57" s="217">
        <f t="shared" si="100"/>
        <v>219.51314431688729</v>
      </c>
      <c r="U57" s="217">
        <f t="shared" si="100"/>
        <v>220.69036950480972</v>
      </c>
      <c r="V57" s="217">
        <f t="shared" si="100"/>
        <v>221.94358636531365</v>
      </c>
      <c r="W57" s="150">
        <f t="shared" si="100"/>
        <v>227.10221498137116</v>
      </c>
      <c r="X57" s="217">
        <f t="shared" si="100"/>
        <v>231.46037596817609</v>
      </c>
      <c r="Y57" s="217">
        <f t="shared" si="100"/>
        <v>234.81346689462407</v>
      </c>
      <c r="Z57" s="217">
        <f t="shared" si="100"/>
        <v>237.25850534730762</v>
      </c>
      <c r="AA57" s="150">
        <f t="shared" si="100"/>
        <v>238.39815679003004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610.40700000000004</v>
      </c>
      <c r="H61" s="104">
        <f>main!O54/1000</f>
        <v>405.26900000000001</v>
      </c>
      <c r="I61" s="104">
        <f>main!P54/1000</f>
        <v>847.38358333333338</v>
      </c>
      <c r="J61" s="104">
        <f>main!Q54/1000</f>
        <v>757.41691666666668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77.703294275287206</v>
      </c>
      <c r="N61" s="231">
        <f>M61*(1+N63)</f>
        <v>78.070503655757619</v>
      </c>
      <c r="O61" s="247">
        <f>N61*(1+O63)</f>
        <v>78.435379078301281</v>
      </c>
      <c r="P61" s="231">
        <f>O61*(1+P63)</f>
        <v>78.799476514869369</v>
      </c>
      <c r="Q61" s="231">
        <f t="shared" ref="Q61:AA61" si="101">P61*(1+Q63)</f>
        <v>79.16474093040091</v>
      </c>
      <c r="R61" s="231">
        <f t="shared" si="101"/>
        <v>79.533506282822501</v>
      </c>
      <c r="S61" s="247">
        <f t="shared" si="101"/>
        <v>79.905772572134126</v>
      </c>
      <c r="T61" s="231">
        <f t="shared" si="101"/>
        <v>80.280372819372502</v>
      </c>
      <c r="U61" s="231">
        <f t="shared" si="101"/>
        <v>80.65419508063529</v>
      </c>
      <c r="V61" s="231">
        <f t="shared" si="101"/>
        <v>81.029184320861546</v>
      </c>
      <c r="W61" s="247">
        <f t="shared" si="101"/>
        <v>81.404951547063206</v>
      </c>
      <c r="X61" s="231">
        <f t="shared" si="101"/>
        <v>81.780329780277157</v>
      </c>
      <c r="Y61" s="231">
        <f t="shared" si="101"/>
        <v>82.151040097637789</v>
      </c>
      <c r="Z61" s="231">
        <f t="shared" si="101"/>
        <v>82.519027464083806</v>
      </c>
      <c r="AA61" s="247">
        <f t="shared" si="101"/>
        <v>82.884291879615347</v>
      </c>
      <c r="AB61" s="95"/>
    </row>
    <row r="62" spans="1:32" x14ac:dyDescent="0.2">
      <c r="B62" t="s">
        <v>175</v>
      </c>
      <c r="D62" s="102" t="e">
        <f>#REF!</f>
        <v>#REF!</v>
      </c>
      <c r="E62" s="104">
        <f>E16</f>
        <v>1085.9000000000001</v>
      </c>
      <c r="F62" s="104">
        <f t="shared" ref="F62:AA62" si="102">F16</f>
        <v>1212.9000000000001</v>
      </c>
      <c r="G62" s="104">
        <f t="shared" si="102"/>
        <v>609.79999999999995</v>
      </c>
      <c r="H62" s="104">
        <f t="shared" si="102"/>
        <v>402.7</v>
      </c>
      <c r="I62" s="104">
        <f t="shared" si="102"/>
        <v>404.58725618885501</v>
      </c>
      <c r="J62" s="104">
        <f t="shared" si="102"/>
        <v>406.51787384375598</v>
      </c>
      <c r="K62" s="104">
        <f t="shared" si="102"/>
        <v>408.48772330127002</v>
      </c>
      <c r="L62" s="104">
        <f t="shared" si="102"/>
        <v>410.48028590766501</v>
      </c>
      <c r="M62" s="104">
        <f t="shared" si="102"/>
        <v>412.46045952376102</v>
      </c>
      <c r="N62" s="104">
        <f t="shared" si="102"/>
        <v>414.40966066410999</v>
      </c>
      <c r="O62" s="104">
        <f t="shared" si="102"/>
        <v>416.34647281415999</v>
      </c>
      <c r="P62" s="104">
        <f t="shared" si="102"/>
        <v>418.27915530077701</v>
      </c>
      <c r="Q62" s="104">
        <f t="shared" si="102"/>
        <v>420.21803228254402</v>
      </c>
      <c r="R62" s="104">
        <f t="shared" si="102"/>
        <v>422.17549274975897</v>
      </c>
      <c r="S62" s="104">
        <f t="shared" si="102"/>
        <v>424.15153670242199</v>
      </c>
      <c r="T62" s="104">
        <f t="shared" si="102"/>
        <v>426.13996964538399</v>
      </c>
      <c r="U62" s="104">
        <f t="shared" si="102"/>
        <v>428.12427292491299</v>
      </c>
      <c r="V62" s="104">
        <f t="shared" si="102"/>
        <v>430.11477069959199</v>
      </c>
      <c r="W62" s="104">
        <f t="shared" si="102"/>
        <v>432.10939813770301</v>
      </c>
      <c r="X62" s="104">
        <f t="shared" si="102"/>
        <v>434.10196074409799</v>
      </c>
      <c r="Y62" s="104">
        <f t="shared" si="102"/>
        <v>436.069745369896</v>
      </c>
      <c r="Z62" s="104">
        <f t="shared" si="102"/>
        <v>438.02307617367802</v>
      </c>
      <c r="AA62" s="104">
        <f t="shared" si="102"/>
        <v>439.96195315544497</v>
      </c>
      <c r="AB62" s="95"/>
    </row>
    <row r="63" spans="1:32" s="170" customFormat="1" ht="12" x14ac:dyDescent="0.15">
      <c r="B63" s="210" t="s">
        <v>271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3">(M62/L62)-1</f>
        <v>4.8240407251651796E-3</v>
      </c>
      <c r="N63" s="230">
        <f t="shared" si="103"/>
        <v>4.7257890916370116E-3</v>
      </c>
      <c r="O63" s="246">
        <f t="shared" si="103"/>
        <v>4.6736655389407744E-3</v>
      </c>
      <c r="P63" s="230">
        <f t="shared" si="103"/>
        <v>4.642005187539322E-3</v>
      </c>
      <c r="Q63" s="230">
        <f t="shared" si="103"/>
        <v>4.6353660162021804E-3</v>
      </c>
      <c r="R63" s="230">
        <f t="shared" si="103"/>
        <v>4.6582019733480973E-3</v>
      </c>
      <c r="S63" s="246">
        <f t="shared" si="103"/>
        <v>4.6806221265769388E-3</v>
      </c>
      <c r="T63" s="230">
        <f t="shared" si="103"/>
        <v>4.6880248470184682E-3</v>
      </c>
      <c r="U63" s="230">
        <f t="shared" si="103"/>
        <v>4.6564589592013039E-3</v>
      </c>
      <c r="V63" s="230">
        <f t="shared" si="103"/>
        <v>4.6493457637430957E-3</v>
      </c>
      <c r="W63" s="246">
        <f t="shared" si="103"/>
        <v>4.6374306905729856E-3</v>
      </c>
      <c r="X63" s="230">
        <f t="shared" si="103"/>
        <v>4.6112457053295586E-3</v>
      </c>
      <c r="Y63" s="230">
        <f t="shared" si="103"/>
        <v>4.5330010083921568E-3</v>
      </c>
      <c r="Z63" s="230">
        <f t="shared" si="103"/>
        <v>4.4793999687484654E-3</v>
      </c>
      <c r="AA63" s="246">
        <f t="shared" si="103"/>
        <v>4.4264265679878623E-3</v>
      </c>
      <c r="AB63" s="243"/>
    </row>
    <row r="64" spans="1:32" s="97" customFormat="1" x14ac:dyDescent="0.2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4">G61-G62</f>
        <v>0.60700000000008458</v>
      </c>
      <c r="H64" s="217">
        <f t="shared" si="104"/>
        <v>2.5690000000000168</v>
      </c>
      <c r="I64" s="217">
        <f t="shared" si="104"/>
        <v>442.79632714447837</v>
      </c>
      <c r="J64" s="217">
        <f t="shared" si="104"/>
        <v>350.8990428229107</v>
      </c>
      <c r="K64" s="150">
        <f t="shared" si="104"/>
        <v>-305.73747330127003</v>
      </c>
      <c r="L64" s="217">
        <f t="shared" si="104"/>
        <v>-333.15003590766503</v>
      </c>
      <c r="M64" s="217">
        <f t="shared" si="104"/>
        <v>-334.75716524847383</v>
      </c>
      <c r="N64" s="217">
        <f t="shared" si="104"/>
        <v>-336.33915700835234</v>
      </c>
      <c r="O64" s="150">
        <f t="shared" si="104"/>
        <v>-337.91109373585869</v>
      </c>
      <c r="P64" s="217">
        <f t="shared" si="104"/>
        <v>-339.47967878590765</v>
      </c>
      <c r="Q64" s="217">
        <f t="shared" si="104"/>
        <v>-341.05329135214311</v>
      </c>
      <c r="R64" s="217">
        <f t="shared" si="104"/>
        <v>-342.64198646693649</v>
      </c>
      <c r="S64" s="150">
        <f t="shared" si="104"/>
        <v>-344.24576413028785</v>
      </c>
      <c r="T64" s="217">
        <f t="shared" si="104"/>
        <v>-345.85959682601151</v>
      </c>
      <c r="U64" s="217">
        <f t="shared" si="104"/>
        <v>-347.47007784427768</v>
      </c>
      <c r="V64" s="217">
        <f t="shared" si="104"/>
        <v>-349.08558637873045</v>
      </c>
      <c r="W64" s="150">
        <f t="shared" si="104"/>
        <v>-350.7044465906398</v>
      </c>
      <c r="X64" s="217">
        <f t="shared" si="104"/>
        <v>-352.32163096382084</v>
      </c>
      <c r="Y64" s="217">
        <f t="shared" si="104"/>
        <v>-353.91870527225819</v>
      </c>
      <c r="Z64" s="217">
        <f t="shared" si="104"/>
        <v>-355.5040487095942</v>
      </c>
      <c r="AA64" s="150">
        <f t="shared" si="104"/>
        <v>-357.07766127582966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294.149</v>
      </c>
      <c r="H68" s="218">
        <f>main!O83/1000</f>
        <v>322.63679599999995</v>
      </c>
      <c r="I68" s="218">
        <f>main!P83/1000</f>
        <v>324.52774318400003</v>
      </c>
      <c r="J68" s="218">
        <f>main!Q83/1000</f>
        <v>319.32185415673598</v>
      </c>
      <c r="K68" s="151">
        <f>main!R83/1000</f>
        <v>319.11914157336292</v>
      </c>
      <c r="L68" s="218">
        <f>main!S83/1000</f>
        <v>309.91961813965639</v>
      </c>
      <c r="M68" s="218">
        <f>main!T83/1000</f>
        <v>310.72329661221499</v>
      </c>
      <c r="N68" s="218">
        <f>main!U83/1000</f>
        <v>311.53018979866386</v>
      </c>
      <c r="O68" s="151">
        <f>main!V83/1000</f>
        <v>312.34031055785857</v>
      </c>
      <c r="P68" s="248">
        <f>main!W83/1000</f>
        <v>313.15367180009002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5">S68*(1+T70)</f>
        <v>333.78582925174504</v>
      </c>
      <c r="U68" s="248">
        <f t="shared" si="105"/>
        <v>337.09010427322511</v>
      </c>
      <c r="V68" s="248">
        <f t="shared" si="105"/>
        <v>340.43479411501278</v>
      </c>
      <c r="W68" s="249">
        <f t="shared" si="105"/>
        <v>343.81583546649966</v>
      </c>
      <c r="X68" s="248">
        <f t="shared" si="105"/>
        <v>347.21186736980985</v>
      </c>
      <c r="Y68" s="248">
        <f t="shared" si="105"/>
        <v>350.62708384827192</v>
      </c>
      <c r="Z68" s="248">
        <f t="shared" si="105"/>
        <v>354.05853395040094</v>
      </c>
      <c r="AA68" s="249">
        <f t="shared" si="105"/>
        <v>357.51747852385279</v>
      </c>
      <c r="AB68" s="95"/>
    </row>
    <row r="69" spans="1:28" x14ac:dyDescent="0.2">
      <c r="B69" t="s">
        <v>175</v>
      </c>
      <c r="D69" s="102" t="e">
        <f>#REF!</f>
        <v>#REF!</v>
      </c>
      <c r="E69" s="104">
        <f>E17</f>
        <v>884.26</v>
      </c>
      <c r="F69" s="104">
        <f t="shared" ref="F69:AA69" si="106">F17</f>
        <v>242.12799999999999</v>
      </c>
      <c r="G69" s="104">
        <f t="shared" si="106"/>
        <v>225.90700000000001</v>
      </c>
      <c r="H69" s="104">
        <f t="shared" si="106"/>
        <v>262.43700000000001</v>
      </c>
      <c r="I69" s="104">
        <f t="shared" si="106"/>
        <v>257.26599192779503</v>
      </c>
      <c r="J69" s="104">
        <f t="shared" si="106"/>
        <v>256.21510964215298</v>
      </c>
      <c r="K69" s="104">
        <f t="shared" si="106"/>
        <v>258.57067876132402</v>
      </c>
      <c r="L69" s="104">
        <f t="shared" si="106"/>
        <v>261.16279192979499</v>
      </c>
      <c r="M69" s="104">
        <f t="shared" si="106"/>
        <v>263.64812783386702</v>
      </c>
      <c r="N69" s="104">
        <f t="shared" si="106"/>
        <v>266.14790345036999</v>
      </c>
      <c r="O69" s="104">
        <f t="shared" si="106"/>
        <v>268.70569902244898</v>
      </c>
      <c r="P69" s="104">
        <f t="shared" si="106"/>
        <v>271.263979862962</v>
      </c>
      <c r="Q69" s="104">
        <f t="shared" si="106"/>
        <v>273.87029090685002</v>
      </c>
      <c r="R69" s="104">
        <f t="shared" si="106"/>
        <v>276.52404959205398</v>
      </c>
      <c r="S69" s="104">
        <f t="shared" si="106"/>
        <v>279.241851093381</v>
      </c>
      <c r="T69" s="104">
        <f t="shared" si="106"/>
        <v>282.01341480314198</v>
      </c>
      <c r="U69" s="104">
        <f t="shared" si="106"/>
        <v>284.80517467007598</v>
      </c>
      <c r="V69" s="104">
        <f t="shared" si="106"/>
        <v>287.63108074839698</v>
      </c>
      <c r="W69" s="104">
        <f t="shared" si="106"/>
        <v>290.48769997414701</v>
      </c>
      <c r="X69" s="104">
        <f t="shared" si="106"/>
        <v>293.35698461687701</v>
      </c>
      <c r="Y69" s="104">
        <f t="shared" si="106"/>
        <v>296.24247817884799</v>
      </c>
      <c r="Z69" s="104">
        <f t="shared" si="106"/>
        <v>299.141687420886</v>
      </c>
      <c r="AA69" s="104">
        <f t="shared" si="106"/>
        <v>302.06412655786397</v>
      </c>
      <c r="AB69" s="95"/>
    </row>
    <row r="70" spans="1:28" s="170" customFormat="1" ht="12" x14ac:dyDescent="0.15">
      <c r="B70" s="210" t="s">
        <v>271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9.6080247926932927E-3</v>
      </c>
      <c r="R70" s="230">
        <f t="shared" ref="R70" si="108">(R69/Q69)-1</f>
        <v>9.6898377564675897E-3</v>
      </c>
      <c r="S70" s="246">
        <f t="shared" ref="S70" si="109">(S69/R69)-1</f>
        <v>9.8284453208916656E-3</v>
      </c>
      <c r="T70" s="230">
        <f t="shared" ref="T70" si="110">(T69/S69)-1</f>
        <v>9.9253163482080353E-3</v>
      </c>
      <c r="U70" s="230">
        <f t="shared" ref="U70" si="111">(U69/T69)-1</f>
        <v>9.8993867681180792E-3</v>
      </c>
      <c r="V70" s="230">
        <f t="shared" ref="V70" si="112">(V69/U69)-1</f>
        <v>9.922242745745713E-3</v>
      </c>
      <c r="W70" s="246">
        <f t="shared" ref="W70" si="113">(W69/V69)-1</f>
        <v>9.9315387555380941E-3</v>
      </c>
      <c r="X70" s="230">
        <f t="shared" ref="X70" si="114">(X69/W69)-1</f>
        <v>9.8774737897175946E-3</v>
      </c>
      <c r="Y70" s="230">
        <f t="shared" ref="Y70" si="115">(Y69/X69)-1</f>
        <v>9.8361167903993074E-3</v>
      </c>
      <c r="Z70" s="230">
        <f t="shared" ref="Z70" si="116">(Z69/Y69)-1</f>
        <v>9.7866087937859003E-3</v>
      </c>
      <c r="AA70" s="246">
        <f t="shared" ref="AA70" si="117">(AA69/Z69)-1</f>
        <v>9.7694144944304728E-3</v>
      </c>
      <c r="AB70" s="243"/>
    </row>
    <row r="71" spans="1:28" s="97" customFormat="1" x14ac:dyDescent="0.2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8">G68-G69</f>
        <v>68.24199999999999</v>
      </c>
      <c r="H71" s="217">
        <f t="shared" si="118"/>
        <v>60.199795999999935</v>
      </c>
      <c r="I71" s="217">
        <f t="shared" si="118"/>
        <v>67.261751256205002</v>
      </c>
      <c r="J71" s="217">
        <f t="shared" si="118"/>
        <v>63.106744514582999</v>
      </c>
      <c r="K71" s="150">
        <f t="shared" si="118"/>
        <v>60.548462812038906</v>
      </c>
      <c r="L71" s="217">
        <f t="shared" ref="L71:N71" si="119">L68-L69</f>
        <v>48.756826209861401</v>
      </c>
      <c r="M71" s="217">
        <f t="shared" si="119"/>
        <v>47.075168778347972</v>
      </c>
      <c r="N71" s="217">
        <f t="shared" si="119"/>
        <v>45.38228634829386</v>
      </c>
      <c r="O71" s="150">
        <f t="shared" ref="O71:AA71" si="120">O68-O69</f>
        <v>43.63461153540959</v>
      </c>
      <c r="P71" s="250">
        <f t="shared" si="120"/>
        <v>41.889691937128021</v>
      </c>
      <c r="Q71" s="250">
        <f t="shared" si="120"/>
        <v>56.635167119177311</v>
      </c>
      <c r="R71" s="250">
        <f t="shared" si="120"/>
        <v>53.981408433973343</v>
      </c>
      <c r="S71" s="239">
        <f t="shared" si="120"/>
        <v>51.263606932646326</v>
      </c>
      <c r="T71" s="250">
        <f t="shared" si="120"/>
        <v>51.772414448603058</v>
      </c>
      <c r="U71" s="250">
        <f t="shared" si="120"/>
        <v>52.284929603149124</v>
      </c>
      <c r="V71" s="250">
        <f t="shared" si="120"/>
        <v>52.803713366615796</v>
      </c>
      <c r="W71" s="251">
        <f t="shared" si="120"/>
        <v>53.328135492352658</v>
      </c>
      <c r="X71" s="250">
        <f t="shared" si="120"/>
        <v>53.854882752932838</v>
      </c>
      <c r="Y71" s="250">
        <f t="shared" si="120"/>
        <v>54.384605669423934</v>
      </c>
      <c r="Z71" s="250">
        <f t="shared" si="120"/>
        <v>54.916846529514942</v>
      </c>
      <c r="AA71" s="251">
        <f t="shared" si="120"/>
        <v>55.453351965988816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I1" activePane="topRight" state="frozen"/>
      <selection pane="topRight" activeCell="M25" sqref="M2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250</v>
      </c>
      <c r="B1" t="s">
        <v>243</v>
      </c>
      <c r="C1" t="s">
        <v>244</v>
      </c>
      <c r="D1" t="s">
        <v>398</v>
      </c>
      <c r="E1" t="s">
        <v>246</v>
      </c>
      <c r="F1" t="s">
        <v>247</v>
      </c>
      <c r="G1" t="s">
        <v>248</v>
      </c>
      <c r="H1" t="s">
        <v>249</v>
      </c>
      <c r="I1" t="s">
        <v>399</v>
      </c>
      <c r="J1" t="s">
        <v>394</v>
      </c>
      <c r="K1" t="s">
        <v>395</v>
      </c>
      <c r="L1" t="s">
        <v>396</v>
      </c>
      <c r="M1" t="s">
        <v>397</v>
      </c>
      <c r="N1" t="s">
        <v>336</v>
      </c>
      <c r="O1" t="s">
        <v>348</v>
      </c>
      <c r="P1" t="s">
        <v>359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3.0000000000143245E-3</v>
      </c>
      <c r="C3">
        <f t="array" ref="C3:C24">TRANSPOSE('add-ons calculations'!F31:AA31)</f>
        <v>185.97699999999998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2.8000000000020009E-2</v>
      </c>
      <c r="C4">
        <v>36.649000000000001</v>
      </c>
      <c r="D4">
        <v>-1907.1</v>
      </c>
      <c r="E4">
        <v>-4.3178334742540159</v>
      </c>
      <c r="F4">
        <v>-5.9999999998581188E-3</v>
      </c>
      <c r="G4">
        <v>270.702</v>
      </c>
      <c r="H4">
        <v>0.60700000000008458</v>
      </c>
      <c r="I4">
        <v>68.24199999999999</v>
      </c>
      <c r="J4" s="151">
        <f>'add-ons calculations'!G68</f>
        <v>294.149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1.9000000000005457E-2</v>
      </c>
      <c r="C5">
        <v>60.003999999999991</v>
      </c>
      <c r="D5">
        <v>-1965.1</v>
      </c>
      <c r="E5">
        <v>-2.6050070145439435</v>
      </c>
      <c r="F5">
        <v>4.0000000001327862E-3</v>
      </c>
      <c r="G5">
        <v>1357.0997350000002</v>
      </c>
      <c r="H5">
        <v>2.5690000000000168</v>
      </c>
      <c r="I5">
        <v>60.199795999999935</v>
      </c>
      <c r="J5" s="151">
        <f>'add-ons calculations'!H68</f>
        <v>322.63679599999995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2">
      <c r="A6" s="188">
        <v>44377</v>
      </c>
      <c r="B6">
        <v>6.7878800857670569</v>
      </c>
      <c r="C6">
        <v>-2.7453429326619414</v>
      </c>
      <c r="D6">
        <v>-27.737459527982537</v>
      </c>
      <c r="E6">
        <v>-2.6317117073143947</v>
      </c>
      <c r="F6">
        <v>27.240230175895476</v>
      </c>
      <c r="G6">
        <v>292.56851838171019</v>
      </c>
      <c r="H6">
        <v>442.79632714447837</v>
      </c>
      <c r="I6">
        <v>67.261751256205002</v>
      </c>
      <c r="J6" s="102">
        <f>'add-ons calculations'!I$68</f>
        <v>324.52774318400003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2">
      <c r="A7" s="188">
        <v>44469</v>
      </c>
      <c r="B7">
        <v>2.4621390898360573</v>
      </c>
      <c r="C7">
        <v>-1.1919892954507532</v>
      </c>
      <c r="D7">
        <v>-28.139041961662997</v>
      </c>
      <c r="E7">
        <v>-2.6698135814636288</v>
      </c>
      <c r="F7">
        <v>58.920478314845923</v>
      </c>
      <c r="G7">
        <v>231.3499254633241</v>
      </c>
      <c r="H7">
        <v>350.8990428229107</v>
      </c>
      <c r="I7">
        <v>63.106744514582999</v>
      </c>
      <c r="J7" s="102">
        <f>'add-ons calculations'!J$68</f>
        <v>319.32185415673598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2">
      <c r="A8" s="188">
        <v>44561</v>
      </c>
      <c r="B8">
        <v>1.8517372461530499</v>
      </c>
      <c r="C8">
        <v>-11.538087940751609</v>
      </c>
      <c r="D8">
        <v>-28.5131067004138</v>
      </c>
      <c r="E8">
        <v>-2.7053045950249697</v>
      </c>
      <c r="F8">
        <v>60.205634505330863</v>
      </c>
      <c r="G8">
        <v>216.02540037962535</v>
      </c>
      <c r="H8">
        <v>-305.73747330127003</v>
      </c>
      <c r="I8">
        <v>60.548462812038906</v>
      </c>
      <c r="J8" s="102">
        <f>'add-ons calculations'!K$68</f>
        <v>319.11914157336292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2">
      <c r="A9" s="188">
        <v>44651</v>
      </c>
      <c r="B9">
        <v>1.2413354024700425</v>
      </c>
      <c r="C9">
        <v>-21.727580027231852</v>
      </c>
      <c r="D9">
        <v>0</v>
      </c>
      <c r="E9">
        <v>0</v>
      </c>
      <c r="F9">
        <v>61.490790695815576</v>
      </c>
      <c r="G9">
        <v>216.21157783208582</v>
      </c>
      <c r="H9">
        <v>-333.15003590766503</v>
      </c>
      <c r="I9">
        <v>48.756826209861401</v>
      </c>
      <c r="J9" s="102">
        <f>'add-ons calculations'!L$68</f>
        <v>309.91961813965639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2">
      <c r="A10" s="188">
        <v>44742</v>
      </c>
      <c r="B10">
        <v>42.711846116101725</v>
      </c>
      <c r="C10">
        <v>-23.239268439777305</v>
      </c>
      <c r="D10">
        <v>0</v>
      </c>
      <c r="E10">
        <v>0</v>
      </c>
      <c r="F10">
        <v>62.775946886300062</v>
      </c>
      <c r="G10">
        <v>215.39399255353351</v>
      </c>
      <c r="H10">
        <v>-334.75716524847383</v>
      </c>
      <c r="I10">
        <v>47.075168778347972</v>
      </c>
      <c r="J10" s="102">
        <f>'add-ons calculations'!M$68</f>
        <v>310.72329661221499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2">
      <c r="A11" s="188">
        <v>44834</v>
      </c>
      <c r="B11">
        <v>42.101444272418718</v>
      </c>
      <c r="C11">
        <v>-24.640281923286409</v>
      </c>
      <c r="D11">
        <v>0</v>
      </c>
      <c r="E11">
        <v>0</v>
      </c>
      <c r="F11">
        <v>64.06110307678523</v>
      </c>
      <c r="G11">
        <v>213.074483197684</v>
      </c>
      <c r="H11">
        <v>-336.33915700835234</v>
      </c>
      <c r="I11">
        <v>45.38228634829386</v>
      </c>
      <c r="J11" s="102">
        <f>'add-ons calculations'!N$68</f>
        <v>311.53018979866386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2">
      <c r="A12" s="188">
        <v>44926</v>
      </c>
      <c r="B12">
        <v>44.076451080221716</v>
      </c>
      <c r="C12">
        <v>-27.257131749460996</v>
      </c>
      <c r="D12">
        <v>0</v>
      </c>
      <c r="E12">
        <v>0</v>
      </c>
      <c r="F12">
        <v>64.606030375998671</v>
      </c>
      <c r="G12">
        <v>215.81819168727702</v>
      </c>
      <c r="H12">
        <v>-337.91109373585869</v>
      </c>
      <c r="I12">
        <v>43.63461153540959</v>
      </c>
      <c r="J12" s="102">
        <f>'add-ons calculations'!O$68</f>
        <v>312.34031055785857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2">
      <c r="A13" s="188">
        <v>45016</v>
      </c>
      <c r="B13">
        <v>43.593784943441761</v>
      </c>
      <c r="C13">
        <v>-29.750886613179148</v>
      </c>
      <c r="D13">
        <v>0</v>
      </c>
      <c r="E13">
        <v>0</v>
      </c>
      <c r="F13">
        <v>65.150957675211657</v>
      </c>
      <c r="G13">
        <v>217.24698825212386</v>
      </c>
      <c r="H13">
        <v>-339.47967878590765</v>
      </c>
      <c r="I13">
        <v>41.889691937128021</v>
      </c>
      <c r="J13" s="102">
        <f>'add-ons calculations'!P$68</f>
        <v>313.15367180009002</v>
      </c>
      <c r="K13" s="102">
        <f t="shared" si="1"/>
        <v>0</v>
      </c>
      <c r="L13">
        <v>0</v>
      </c>
      <c r="M13">
        <v>0</v>
      </c>
      <c r="N13">
        <v>0</v>
      </c>
      <c r="O13">
        <f t="shared" si="3"/>
        <v>28.25</v>
      </c>
      <c r="P13">
        <v>0</v>
      </c>
    </row>
    <row r="14" spans="1:16" x14ac:dyDescent="0.2">
      <c r="A14" s="188">
        <v>45107</v>
      </c>
      <c r="B14">
        <v>43.111118806662063</v>
      </c>
      <c r="C14">
        <v>-32.262750017380228</v>
      </c>
      <c r="D14">
        <v>0</v>
      </c>
      <c r="E14">
        <v>0</v>
      </c>
      <c r="F14">
        <v>65.695884974425098</v>
      </c>
      <c r="G14">
        <v>217.74761397828001</v>
      </c>
      <c r="H14">
        <v>-341.05329135214311</v>
      </c>
      <c r="I14">
        <v>56.635167119177311</v>
      </c>
      <c r="J14" s="102">
        <f>'add-ons calculations'!Q$68</f>
        <v>330.50545802602733</v>
      </c>
      <c r="K14" s="102">
        <f t="shared" si="1"/>
        <v>0</v>
      </c>
      <c r="L14">
        <v>0</v>
      </c>
      <c r="M14">
        <v>0</v>
      </c>
      <c r="N14">
        <v>0</v>
      </c>
      <c r="O14">
        <v>26.5</v>
      </c>
      <c r="P14">
        <v>0</v>
      </c>
    </row>
    <row r="15" spans="1:16" x14ac:dyDescent="0.2">
      <c r="A15" s="188">
        <v>45199</v>
      </c>
      <c r="B15">
        <v>42.628452669882108</v>
      </c>
      <c r="C15">
        <v>-34.7732802848098</v>
      </c>
      <c r="D15">
        <v>0</v>
      </c>
      <c r="E15">
        <v>0</v>
      </c>
      <c r="F15">
        <v>66.240812273638312</v>
      </c>
      <c r="G15">
        <v>217.18113308182137</v>
      </c>
      <c r="H15">
        <v>-342.64198646693649</v>
      </c>
      <c r="I15">
        <v>53.981408433973343</v>
      </c>
      <c r="J15" s="102">
        <f>'add-ons calculations'!R$68</f>
        <v>330.50545802602733</v>
      </c>
      <c r="K15" s="102">
        <f t="shared" si="1"/>
        <v>0</v>
      </c>
      <c r="L15">
        <v>0</v>
      </c>
      <c r="M15">
        <v>0</v>
      </c>
      <c r="N15">
        <v>0</v>
      </c>
      <c r="O15">
        <v>26.5</v>
      </c>
      <c r="P15">
        <v>0</v>
      </c>
    </row>
    <row r="16" spans="1:16" x14ac:dyDescent="0.2">
      <c r="A16" s="188">
        <v>45291</v>
      </c>
      <c r="B16">
        <v>42.880564855884273</v>
      </c>
      <c r="C16">
        <v>-35.787092763998118</v>
      </c>
      <c r="D16">
        <v>0</v>
      </c>
      <c r="E16">
        <v>0</v>
      </c>
      <c r="F16">
        <v>66.690005358941789</v>
      </c>
      <c r="G16">
        <v>218.27936612664553</v>
      </c>
      <c r="H16">
        <v>-344.24576413028785</v>
      </c>
      <c r="I16">
        <v>51.263606932646326</v>
      </c>
      <c r="J16" s="102">
        <f>'add-ons calculations'!S$68</f>
        <v>330.50545802602733</v>
      </c>
      <c r="K16" s="102">
        <f t="shared" si="1"/>
        <v>0</v>
      </c>
      <c r="L16">
        <v>0</v>
      </c>
      <c r="M16">
        <v>0</v>
      </c>
      <c r="N16">
        <v>0</v>
      </c>
      <c r="O16">
        <v>26.5</v>
      </c>
      <c r="P16">
        <v>0</v>
      </c>
    </row>
    <row r="17" spans="1:16" x14ac:dyDescent="0.2">
      <c r="A17" s="188">
        <v>45382</v>
      </c>
      <c r="B17">
        <v>43.132677041886438</v>
      </c>
      <c r="C17">
        <v>-36.854203293783854</v>
      </c>
      <c r="D17">
        <v>0</v>
      </c>
      <c r="E17">
        <v>0</v>
      </c>
      <c r="F17">
        <v>67.139198444245494</v>
      </c>
      <c r="G17">
        <v>219.51314431688729</v>
      </c>
      <c r="H17">
        <v>-345.85959682601151</v>
      </c>
      <c r="I17">
        <v>51.772414448603058</v>
      </c>
      <c r="J17" s="102">
        <f>'add-ons calculations'!T$68</f>
        <v>333.78582925174504</v>
      </c>
      <c r="K17" s="102">
        <f t="shared" si="1"/>
        <v>0</v>
      </c>
      <c r="L17">
        <v>0</v>
      </c>
      <c r="M17">
        <v>0</v>
      </c>
      <c r="N17">
        <v>0</v>
      </c>
      <c r="O17">
        <v>26.5</v>
      </c>
      <c r="P17">
        <v>0</v>
      </c>
    </row>
    <row r="18" spans="1:16" x14ac:dyDescent="0.2">
      <c r="A18" s="188">
        <v>45473</v>
      </c>
      <c r="B18">
        <v>43.384789227888604</v>
      </c>
      <c r="C18">
        <v>-37.969766596840145</v>
      </c>
      <c r="D18">
        <v>0</v>
      </c>
      <c r="E18">
        <v>0</v>
      </c>
      <c r="F18">
        <v>67.588391529548517</v>
      </c>
      <c r="G18">
        <v>220.69036950480972</v>
      </c>
      <c r="H18">
        <v>-347.47007784427768</v>
      </c>
      <c r="I18">
        <v>52.284929603149124</v>
      </c>
      <c r="J18" s="102">
        <f>'add-ons calculations'!U$68</f>
        <v>337.09010427322511</v>
      </c>
      <c r="K18" s="102">
        <f t="shared" si="1"/>
        <v>0</v>
      </c>
      <c r="L18">
        <v>0</v>
      </c>
      <c r="M18">
        <v>0</v>
      </c>
      <c r="N18">
        <v>0</v>
      </c>
      <c r="O18">
        <v>26.5</v>
      </c>
      <c r="P18">
        <v>0</v>
      </c>
    </row>
    <row r="19" spans="1:16" x14ac:dyDescent="0.2">
      <c r="A19" s="188">
        <v>45565</v>
      </c>
      <c r="B19">
        <v>43.63690141389074</v>
      </c>
      <c r="C19">
        <v>-39.017496017317853</v>
      </c>
      <c r="D19">
        <v>0</v>
      </c>
      <c r="E19">
        <v>0</v>
      </c>
      <c r="F19">
        <v>68.037584614852221</v>
      </c>
      <c r="G19">
        <v>221.94358636531365</v>
      </c>
      <c r="H19">
        <v>-349.08558637873045</v>
      </c>
      <c r="I19">
        <v>52.803713366615796</v>
      </c>
      <c r="J19" s="102">
        <f>'add-ons calculations'!V$68</f>
        <v>340.43479411501278</v>
      </c>
      <c r="K19" s="102">
        <f t="shared" si="1"/>
        <v>0</v>
      </c>
      <c r="L19">
        <v>0</v>
      </c>
      <c r="M19">
        <v>0</v>
      </c>
      <c r="N19">
        <v>0</v>
      </c>
      <c r="O19">
        <v>26.5</v>
      </c>
      <c r="P19">
        <v>0</v>
      </c>
    </row>
    <row r="20" spans="1:16" x14ac:dyDescent="0.2">
      <c r="A20" s="188">
        <v>45657</v>
      </c>
      <c r="B20">
        <v>44.285381796070624</v>
      </c>
      <c r="C20">
        <v>-39.156407046453182</v>
      </c>
      <c r="D20">
        <v>0</v>
      </c>
      <c r="E20">
        <v>0</v>
      </c>
      <c r="F20">
        <v>69.714050179812148</v>
      </c>
      <c r="G20">
        <v>227.10221498137116</v>
      </c>
      <c r="H20">
        <v>-350.7044465906398</v>
      </c>
      <c r="I20">
        <v>53.328135492352658</v>
      </c>
      <c r="J20" s="102">
        <f>'add-ons calculations'!W$68</f>
        <v>343.81583546649966</v>
      </c>
      <c r="K20" s="102">
        <f t="shared" si="1"/>
        <v>0</v>
      </c>
      <c r="L20">
        <v>0</v>
      </c>
      <c r="M20">
        <v>0</v>
      </c>
      <c r="N20">
        <v>0</v>
      </c>
      <c r="O20">
        <v>26.5</v>
      </c>
      <c r="P20">
        <v>0</v>
      </c>
    </row>
    <row r="21" spans="1:16" x14ac:dyDescent="0.2">
      <c r="A21" s="188">
        <v>45747</v>
      </c>
      <c r="B21">
        <v>44.933862178250251</v>
      </c>
      <c r="C21">
        <v>-39.290472798261362</v>
      </c>
      <c r="D21">
        <v>0</v>
      </c>
      <c r="E21">
        <v>0</v>
      </c>
      <c r="F21">
        <v>71.390515744772529</v>
      </c>
      <c r="G21">
        <v>231.46037596817609</v>
      </c>
      <c r="H21">
        <v>-352.32163096382084</v>
      </c>
      <c r="I21">
        <v>53.854882752932838</v>
      </c>
      <c r="J21" s="102">
        <f>'add-ons calculations'!X$68</f>
        <v>347.21186736980985</v>
      </c>
      <c r="K21" s="102">
        <f t="shared" si="1"/>
        <v>0</v>
      </c>
      <c r="L21">
        <v>0</v>
      </c>
      <c r="M21">
        <v>0</v>
      </c>
      <c r="N21">
        <v>0</v>
      </c>
      <c r="O21">
        <v>26.5</v>
      </c>
      <c r="P21">
        <v>0</v>
      </c>
    </row>
    <row r="22" spans="1:16" x14ac:dyDescent="0.2">
      <c r="A22" s="188">
        <v>45838</v>
      </c>
      <c r="B22">
        <v>45.582342560430135</v>
      </c>
      <c r="C22">
        <v>-39.419693272742563</v>
      </c>
      <c r="D22">
        <v>0</v>
      </c>
      <c r="E22">
        <v>0</v>
      </c>
      <c r="F22">
        <v>73.066981309732455</v>
      </c>
      <c r="G22">
        <v>234.81346689462407</v>
      </c>
      <c r="H22">
        <v>-353.91870527225819</v>
      </c>
      <c r="I22">
        <v>54.384605669423934</v>
      </c>
      <c r="J22" s="102">
        <f>'add-ons calculations'!Y$68</f>
        <v>350.62708384827192</v>
      </c>
      <c r="K22" s="102">
        <f t="shared" si="1"/>
        <v>0</v>
      </c>
      <c r="L22">
        <v>0</v>
      </c>
      <c r="M22">
        <v>0</v>
      </c>
      <c r="N22">
        <v>0</v>
      </c>
      <c r="O22">
        <v>26.5</v>
      </c>
      <c r="P22">
        <v>0</v>
      </c>
    </row>
    <row r="23" spans="1:16" x14ac:dyDescent="0.2">
      <c r="A23" s="188">
        <v>45930</v>
      </c>
      <c r="B23">
        <v>46.230822942609791</v>
      </c>
      <c r="C23">
        <v>-39.548913747223878</v>
      </c>
      <c r="D23">
        <v>0</v>
      </c>
      <c r="E23">
        <v>0</v>
      </c>
      <c r="F23">
        <v>74.743446874692609</v>
      </c>
      <c r="G23">
        <v>237.25850534730762</v>
      </c>
      <c r="H23">
        <v>-355.5040487095942</v>
      </c>
      <c r="I23">
        <v>54.916846529514942</v>
      </c>
      <c r="J23" s="102">
        <f>'add-ons calculations'!Z$68</f>
        <v>354.05853395040094</v>
      </c>
      <c r="K23" s="102">
        <f t="shared" si="1"/>
        <v>0</v>
      </c>
      <c r="L23">
        <v>0</v>
      </c>
      <c r="M23">
        <v>0</v>
      </c>
      <c r="N23">
        <v>0</v>
      </c>
      <c r="O23">
        <v>26.5</v>
      </c>
      <c r="P23">
        <v>0</v>
      </c>
    </row>
    <row r="24" spans="1:16" x14ac:dyDescent="0.2">
      <c r="A24" s="188">
        <v>46022</v>
      </c>
      <c r="B24">
        <v>46.876616670349648</v>
      </c>
      <c r="C24">
        <v>-39.683801722781766</v>
      </c>
      <c r="D24">
        <v>0</v>
      </c>
      <c r="E24">
        <v>0</v>
      </c>
      <c r="F24">
        <v>75.992920275214601</v>
      </c>
      <c r="G24">
        <v>238.39815679003004</v>
      </c>
      <c r="H24">
        <v>-357.07766127582966</v>
      </c>
      <c r="I24">
        <v>55.453351965988816</v>
      </c>
      <c r="J24" s="102">
        <f>'add-ons calculations'!AA$68</f>
        <v>357.51747852385279</v>
      </c>
      <c r="K24" s="102">
        <f t="shared" si="1"/>
        <v>0</v>
      </c>
      <c r="L24">
        <v>0</v>
      </c>
      <c r="M24"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52" t="s">
        <v>20</v>
      </c>
      <c r="E1" s="352"/>
      <c r="F1" s="352"/>
      <c r="G1" s="352"/>
      <c r="H1" s="352" t="s">
        <v>9</v>
      </c>
      <c r="I1" s="352"/>
      <c r="J1" s="352"/>
      <c r="K1" s="352"/>
      <c r="L1" s="352" t="s">
        <v>10</v>
      </c>
      <c r="M1" s="352"/>
      <c r="N1" s="352"/>
      <c r="O1" s="352"/>
      <c r="P1" s="352" t="s">
        <v>11</v>
      </c>
      <c r="Q1" s="352"/>
      <c r="R1" s="352"/>
      <c r="S1" s="352"/>
      <c r="T1" s="352" t="s">
        <v>260</v>
      </c>
      <c r="U1" s="352"/>
      <c r="V1" s="352"/>
      <c r="W1" s="352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 t="str">
        <f>main!N34</f>
        <v>2918239</v>
      </c>
      <c r="M3" s="255" t="str">
        <f>main!O34</f>
        <v>5163185</v>
      </c>
      <c r="N3" s="255">
        <f>main!P34</f>
        <v>2749476.0727414312</v>
      </c>
      <c r="O3" s="255">
        <f>main!Q34</f>
        <v>2651823.3912212253</v>
      </c>
      <c r="P3" s="255">
        <f>main!R34</f>
        <v>2719329.4377647843</v>
      </c>
      <c r="Q3" s="255">
        <f>main!S34</f>
        <v>2776596.3725474421</v>
      </c>
      <c r="R3" s="255">
        <f>main!T34</f>
        <v>2835282.6832986092</v>
      </c>
      <c r="S3" s="255">
        <f>main!U34</f>
        <v>2895427.984567659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 t="str">
        <f>main!N35</f>
        <v>860594</v>
      </c>
      <c r="M4" s="213" t="str">
        <f>main!O35</f>
        <v>880104</v>
      </c>
      <c r="N4" s="213">
        <f>main!P35</f>
        <v>902881.83575393062</v>
      </c>
      <c r="O4" s="213">
        <f>main!Q35</f>
        <v>925938.6110111312</v>
      </c>
      <c r="P4" s="213">
        <f>main!R35</f>
        <v>968216.38585153921</v>
      </c>
      <c r="Q4" s="213">
        <f>main!S35</f>
        <v>999876.62485549843</v>
      </c>
      <c r="R4" s="213">
        <f>main!T35</f>
        <v>1032572.1393912865</v>
      </c>
      <c r="S4" s="213">
        <f>main!U35</f>
        <v>1066336.7825017269</v>
      </c>
      <c r="T4" s="213">
        <f>main!V35</f>
        <v>1077082.3559680069</v>
      </c>
      <c r="U4" s="213">
        <f>main!W35</f>
        <v>1087936.2135627293</v>
      </c>
      <c r="V4" s="213">
        <f>main!X35</f>
        <v>1098899.4464749785</v>
      </c>
      <c r="W4" s="213">
        <f>main!Y35</f>
        <v>1109973.1568898512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 t="str">
        <f>main!N97</f>
        <v>827577</v>
      </c>
      <c r="M5" s="262" t="str">
        <f>main!O97</f>
        <v>840323</v>
      </c>
      <c r="N5" s="262">
        <f>main!P97</f>
        <v>847224.19480316178</v>
      </c>
      <c r="O5" s="262">
        <f>main!Q97</f>
        <v>847953.57306406798</v>
      </c>
      <c r="P5" s="262">
        <f>main!R97</f>
        <v>849053.11079238413</v>
      </c>
      <c r="Q5" s="262">
        <f>main!S97</f>
        <v>850530.1564740889</v>
      </c>
      <c r="R5" s="262">
        <f>main!T97</f>
        <v>851875.63625646336</v>
      </c>
      <c r="S5" s="262">
        <f>main!U97</f>
        <v>853307.52299733902</v>
      </c>
      <c r="T5" s="262">
        <f>main!V97</f>
        <v>854801.12899428688</v>
      </c>
      <c r="U5" s="262"/>
      <c r="V5" s="262"/>
      <c r="W5" s="262"/>
      <c r="AJ5" s="258"/>
    </row>
    <row r="6" spans="1:36" s="35" customFormat="1" x14ac:dyDescent="0.2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 t="str">
        <f>main!N100</f>
        <v>682428</v>
      </c>
      <c r="M6" s="35" t="str">
        <f>main!O100</f>
        <v>694419</v>
      </c>
      <c r="N6" s="35">
        <f>main!P100</f>
        <v>701348.54262191174</v>
      </c>
      <c r="O6" s="35">
        <f>main!Q100</f>
        <v>701348.54262191174</v>
      </c>
      <c r="P6" s="35">
        <f>main!R100</f>
        <v>701348.54262191174</v>
      </c>
      <c r="Q6" s="35">
        <f>main!S100</f>
        <v>701348.54262191174</v>
      </c>
      <c r="R6" s="35">
        <f>main!T100</f>
        <v>701348.54262191174</v>
      </c>
      <c r="S6" s="35">
        <f>main!U100</f>
        <v>701348.54262191174</v>
      </c>
      <c r="T6" s="35">
        <f>main!V100</f>
        <v>701348.54262191174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60" t="s">
        <v>203</v>
      </c>
      <c r="B1" s="361"/>
      <c r="C1" s="35"/>
      <c r="I1" s="240"/>
      <c r="J1" s="368" t="s">
        <v>273</v>
      </c>
      <c r="V1" s="352"/>
      <c r="W1" s="352"/>
      <c r="X1" s="352"/>
      <c r="Y1" s="352"/>
    </row>
    <row r="2" spans="1:27" x14ac:dyDescent="0.2">
      <c r="A2" s="362" t="s">
        <v>189</v>
      </c>
      <c r="B2" s="126"/>
      <c r="C2" t="s">
        <v>190</v>
      </c>
      <c r="H2" s="95"/>
      <c r="I2" s="241"/>
      <c r="J2" s="368"/>
    </row>
    <row r="3" spans="1:27" x14ac:dyDescent="0.2">
      <c r="A3" s="363"/>
      <c r="B3" s="127"/>
      <c r="C3" t="s">
        <v>191</v>
      </c>
      <c r="H3" s="95"/>
      <c r="I3" s="241"/>
      <c r="J3" s="368"/>
    </row>
    <row r="4" spans="1:27" x14ac:dyDescent="0.2">
      <c r="A4" s="363"/>
      <c r="B4" s="128"/>
      <c r="C4" t="s">
        <v>192</v>
      </c>
      <c r="H4" s="95"/>
      <c r="I4" s="95"/>
      <c r="J4" s="95"/>
    </row>
    <row r="5" spans="1:27" x14ac:dyDescent="0.2">
      <c r="A5" s="364"/>
      <c r="B5" s="129"/>
      <c r="C5" t="s">
        <v>179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267</v>
      </c>
      <c r="T7" s="366"/>
      <c r="U7" s="366"/>
      <c r="V7" s="366"/>
      <c r="W7" s="365" t="s">
        <v>268</v>
      </c>
      <c r="X7" s="366"/>
      <c r="Y7" s="366"/>
      <c r="Z7" s="366"/>
      <c r="AA7" s="222" t="s">
        <v>269</v>
      </c>
    </row>
    <row r="8" spans="1:27" s="257" customFormat="1" x14ac:dyDescent="0.2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682.428</v>
      </c>
      <c r="H24" s="102">
        <f>main_nipas!M6/1000</f>
        <v>694.41899999999998</v>
      </c>
      <c r="I24" s="102">
        <f>main_nipas!N6/1000</f>
        <v>701.34854262191175</v>
      </c>
      <c r="J24" s="102">
        <f>main_nipas!O6/1000</f>
        <v>701.34854262191175</v>
      </c>
      <c r="K24" s="149">
        <f>main_nipas!P6/1000</f>
        <v>701.34854262191175</v>
      </c>
      <c r="L24" s="102">
        <f>main_nipas!Q6/1000</f>
        <v>701.34854262191175</v>
      </c>
      <c r="M24" s="102">
        <f>main_nipas!R6/1000</f>
        <v>701.34854262191175</v>
      </c>
      <c r="N24" s="102">
        <f>M24*(1+N26)</f>
        <v>694.15267695980833</v>
      </c>
      <c r="O24" s="149">
        <f t="shared" ref="O24:AA24" si="0">N24*(1+O26)</f>
        <v>687.02743483320262</v>
      </c>
      <c r="P24" s="102">
        <f t="shared" si="0"/>
        <v>679.90219270659679</v>
      </c>
      <c r="Q24" s="102">
        <f t="shared" si="0"/>
        <v>672.77695057999097</v>
      </c>
      <c r="R24" s="102">
        <f t="shared" si="0"/>
        <v>665.65170845338525</v>
      </c>
      <c r="S24" s="149">
        <f t="shared" si="0"/>
        <v>673.15260052832809</v>
      </c>
      <c r="T24" s="102">
        <f t="shared" si="0"/>
        <v>680.65349260327093</v>
      </c>
      <c r="U24" s="102">
        <f t="shared" si="0"/>
        <v>688.15438467821389</v>
      </c>
      <c r="V24" s="102">
        <f t="shared" si="0"/>
        <v>695.65527675315684</v>
      </c>
      <c r="W24" s="149">
        <f t="shared" si="0"/>
        <v>705.15716900053121</v>
      </c>
      <c r="X24" s="102">
        <f t="shared" si="0"/>
        <v>714.65906124790547</v>
      </c>
      <c r="Y24" s="102">
        <f t="shared" si="0"/>
        <v>724.16095349527995</v>
      </c>
      <c r="Z24" s="102">
        <f t="shared" si="0"/>
        <v>733.66284574265433</v>
      </c>
      <c r="AA24" s="149">
        <f t="shared" si="0"/>
        <v>743.55047701486546</v>
      </c>
      <c r="AB24" s="95"/>
    </row>
    <row r="25" spans="1:28" x14ac:dyDescent="0.2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271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-43.247157750019255</v>
      </c>
      <c r="H27" s="217">
        <f t="shared" si="3"/>
        <v>-57.931315500038636</v>
      </c>
      <c r="I27" s="217">
        <f t="shared" si="3"/>
        <v>-77.676930628146238</v>
      </c>
      <c r="J27" s="217">
        <f t="shared" si="3"/>
        <v>-104.35208837816538</v>
      </c>
      <c r="K27" s="150">
        <f t="shared" si="3"/>
        <v>-96.332412521746846</v>
      </c>
      <c r="L27" s="217">
        <f t="shared" si="3"/>
        <v>-88.31273666532843</v>
      </c>
      <c r="M27" s="239">
        <f t="shared" si="3"/>
        <v>-80.293060808910013</v>
      </c>
      <c r="N27" s="217">
        <f t="shared" si="3"/>
        <v>-79.469250614594898</v>
      </c>
      <c r="O27" s="150">
        <f t="shared" si="3"/>
        <v>-78.653525672455544</v>
      </c>
      <c r="P27" s="217">
        <f t="shared" si="3"/>
        <v>-77.837800730316189</v>
      </c>
      <c r="Q27" s="217">
        <f t="shared" si="3"/>
        <v>-77.022075788176835</v>
      </c>
      <c r="R27" s="217">
        <f t="shared" si="3"/>
        <v>-76.206350846037481</v>
      </c>
      <c r="S27" s="150">
        <f t="shared" si="3"/>
        <v>-77.065081629512065</v>
      </c>
      <c r="T27" s="217">
        <f t="shared" si="3"/>
        <v>-77.923812412986649</v>
      </c>
      <c r="U27" s="217">
        <f t="shared" si="3"/>
        <v>-78.782543196461233</v>
      </c>
      <c r="V27" s="217">
        <f t="shared" si="3"/>
        <v>-79.641273979935818</v>
      </c>
      <c r="W27" s="150">
        <f t="shared" si="3"/>
        <v>-80.729086908392105</v>
      </c>
      <c r="X27" s="217">
        <f t="shared" si="3"/>
        <v>-81.816899836848506</v>
      </c>
      <c r="Y27" s="217">
        <f t="shared" si="3"/>
        <v>-82.904712765304794</v>
      </c>
      <c r="Z27" s="217">
        <f t="shared" si="3"/>
        <v>-83.992525693761195</v>
      </c>
      <c r="AA27" s="150">
        <f t="shared" si="3"/>
        <v>-85.124499499577837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827.577</v>
      </c>
      <c r="H31" s="104">
        <f>main_nipas!M5/1000</f>
        <v>840.32299999999998</v>
      </c>
      <c r="I31" s="104">
        <f>main_nipas!N5/1000</f>
        <v>847.22419480316182</v>
      </c>
      <c r="J31" s="104">
        <f>main_nipas!O5/1000</f>
        <v>847.953573064068</v>
      </c>
      <c r="K31" s="149">
        <f>main_nipas!P5/1000</f>
        <v>849.05311079238413</v>
      </c>
      <c r="L31" s="104">
        <f>main_nipas!Q5/1000</f>
        <v>850.53015647408893</v>
      </c>
      <c r="M31" s="104">
        <f>L31*(1 + M33)</f>
        <v>1034.1830691495156</v>
      </c>
      <c r="N31" s="104">
        <f t="shared" ref="N31:AA31" si="4">M31*(1 + N33)</f>
        <v>1208.161910072331</v>
      </c>
      <c r="O31" s="149">
        <f t="shared" si="4"/>
        <v>1370.8511507368346</v>
      </c>
      <c r="P31" s="104">
        <f t="shared" si="4"/>
        <v>1530.8316513106058</v>
      </c>
      <c r="Q31" s="104">
        <f t="shared" si="4"/>
        <v>1699.3253350266777</v>
      </c>
      <c r="R31" s="104">
        <f t="shared" si="4"/>
        <v>1867.0450930025404</v>
      </c>
      <c r="S31" s="149">
        <f t="shared" si="4"/>
        <v>1861.2428439856753</v>
      </c>
      <c r="T31" s="104">
        <f t="shared" si="4"/>
        <v>1860.0841494100682</v>
      </c>
      <c r="U31" s="104">
        <f t="shared" si="4"/>
        <v>1863.1820464056068</v>
      </c>
      <c r="V31" s="104">
        <f t="shared" si="4"/>
        <v>1872.471349322821</v>
      </c>
      <c r="W31" s="149">
        <f t="shared" si="4"/>
        <v>1859.0761291614713</v>
      </c>
      <c r="X31" s="104">
        <f t="shared" si="4"/>
        <v>1844.9069832599123</v>
      </c>
      <c r="Y31" s="104">
        <f t="shared" si="4"/>
        <v>1833.8335403191893</v>
      </c>
      <c r="Z31" s="104">
        <f t="shared" si="4"/>
        <v>1826.2427632094063</v>
      </c>
      <c r="AA31" s="149">
        <f t="shared" si="4"/>
        <v>1817.1509349080004</v>
      </c>
      <c r="AB31" s="95"/>
    </row>
    <row r="32" spans="1:28" x14ac:dyDescent="0.2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271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707.5431577500193</v>
      </c>
      <c r="H34" s="217">
        <f t="shared" si="7"/>
        <v>744.85004300003868</v>
      </c>
      <c r="I34" s="217">
        <f t="shared" si="7"/>
        <v>776.30683737196989</v>
      </c>
      <c r="J34" s="217">
        <f t="shared" si="7"/>
        <v>799.4616592294891</v>
      </c>
      <c r="K34" s="150">
        <f t="shared" si="7"/>
        <v>786.13507701512674</v>
      </c>
      <c r="L34" s="239">
        <f t="shared" si="7"/>
        <v>770.98645695120399</v>
      </c>
      <c r="M34" s="217">
        <f t="shared" si="7"/>
        <v>937.46369162020153</v>
      </c>
      <c r="N34" s="217">
        <f t="shared" si="7"/>
        <v>1095.1715978320431</v>
      </c>
      <c r="O34" s="150">
        <f t="shared" si="7"/>
        <v>1242.6457353323383</v>
      </c>
      <c r="P34" s="150">
        <f t="shared" si="7"/>
        <v>1387.6644608646288</v>
      </c>
      <c r="Q34" s="150">
        <f t="shared" si="7"/>
        <v>1540.4001954392188</v>
      </c>
      <c r="R34" s="150">
        <f t="shared" si="7"/>
        <v>1692.4343837372362</v>
      </c>
      <c r="S34" s="150">
        <f t="shared" si="7"/>
        <v>1687.1747755060521</v>
      </c>
      <c r="T34" s="150">
        <f t="shared" si="7"/>
        <v>1686.1244449343071</v>
      </c>
      <c r="U34" s="150">
        <f t="shared" si="7"/>
        <v>1688.9326188837076</v>
      </c>
      <c r="V34" s="150">
        <f t="shared" si="7"/>
        <v>1697.3531630456919</v>
      </c>
      <c r="W34" s="150">
        <f t="shared" si="7"/>
        <v>1685.2106972510708</v>
      </c>
      <c r="X34" s="150">
        <f t="shared" si="7"/>
        <v>1672.3666851798769</v>
      </c>
      <c r="Y34" s="150">
        <f t="shared" si="7"/>
        <v>1662.328858214973</v>
      </c>
      <c r="Z34" s="150">
        <f t="shared" si="7"/>
        <v>1655.4479894946455</v>
      </c>
      <c r="AA34" s="150">
        <f t="shared" si="7"/>
        <v>1647.2064516303462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880.10400000000004</v>
      </c>
      <c r="I38" s="104">
        <f>main_nipas!N4/1000</f>
        <v>902.88183575393066</v>
      </c>
      <c r="J38" s="104">
        <f>main_nipas!O4/1000</f>
        <v>925.93861101113123</v>
      </c>
      <c r="K38" s="149">
        <f t="shared" ref="K38:AA38" si="8">J38*(1+K40)</f>
        <v>972.69077329985782</v>
      </c>
      <c r="L38" s="149">
        <f t="shared" si="8"/>
        <v>1019.4429355885843</v>
      </c>
      <c r="M38" s="149">
        <f t="shared" si="8"/>
        <v>1066.1950978773107</v>
      </c>
      <c r="N38" s="149">
        <f t="shared" si="8"/>
        <v>1112.947260166037</v>
      </c>
      <c r="O38" s="149">
        <f t="shared" si="8"/>
        <v>1124.3331994198873</v>
      </c>
      <c r="P38" s="149">
        <f t="shared" si="8"/>
        <v>1135.7191386737375</v>
      </c>
      <c r="Q38" s="149">
        <f t="shared" si="8"/>
        <v>1147.1050779275877</v>
      </c>
      <c r="R38" s="149">
        <f t="shared" si="8"/>
        <v>1158.4910171814379</v>
      </c>
      <c r="S38" s="149">
        <f t="shared" si="8"/>
        <v>1165.108515470283</v>
      </c>
      <c r="T38" s="149">
        <f t="shared" si="8"/>
        <v>1171.7260137591281</v>
      </c>
      <c r="U38" s="149">
        <f t="shared" si="8"/>
        <v>1178.343512047973</v>
      </c>
      <c r="V38" s="149">
        <f t="shared" si="8"/>
        <v>1184.9610103368179</v>
      </c>
      <c r="W38" s="149">
        <f t="shared" si="8"/>
        <v>1219.7085939083695</v>
      </c>
      <c r="X38" s="149">
        <f t="shared" si="8"/>
        <v>1254.4561774799199</v>
      </c>
      <c r="Y38" s="149">
        <f t="shared" si="8"/>
        <v>1289.2037610514706</v>
      </c>
      <c r="Z38" s="149">
        <f t="shared" si="8"/>
        <v>1323.951344623021</v>
      </c>
      <c r="AA38" s="149">
        <f t="shared" si="8"/>
        <v>1347.3744526581963</v>
      </c>
      <c r="AB38" s="95"/>
    </row>
    <row r="39" spans="1:28" x14ac:dyDescent="0.2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271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62.983597259149064</v>
      </c>
      <c r="I41" s="217">
        <f t="shared" si="11"/>
        <v>98.551231642654102</v>
      </c>
      <c r="J41" s="239">
        <f t="shared" si="11"/>
        <v>134.39780552942921</v>
      </c>
      <c r="K41" s="150">
        <f t="shared" si="11"/>
        <v>141.18377161901594</v>
      </c>
      <c r="L41" s="217">
        <f t="shared" si="11"/>
        <v>147.96973770860268</v>
      </c>
      <c r="M41" s="217">
        <f t="shared" si="11"/>
        <v>154.75570379818942</v>
      </c>
      <c r="N41" s="217">
        <f t="shared" si="11"/>
        <v>161.54166988777604</v>
      </c>
      <c r="O41" s="150">
        <f t="shared" si="11"/>
        <v>163.19431211633355</v>
      </c>
      <c r="P41" s="217">
        <f t="shared" si="11"/>
        <v>164.84695434489106</v>
      </c>
      <c r="Q41" s="217">
        <f t="shared" si="11"/>
        <v>166.49959657344857</v>
      </c>
      <c r="R41" s="217">
        <f t="shared" si="11"/>
        <v>168.15223880200608</v>
      </c>
      <c r="S41" s="150">
        <f t="shared" si="11"/>
        <v>169.11275307102915</v>
      </c>
      <c r="T41" s="217">
        <f t="shared" si="11"/>
        <v>170.0732673400521</v>
      </c>
      <c r="U41" s="217">
        <f t="shared" si="11"/>
        <v>171.03378160907505</v>
      </c>
      <c r="V41" s="217">
        <f t="shared" si="11"/>
        <v>171.99429587809789</v>
      </c>
      <c r="W41" s="150">
        <f t="shared" si="11"/>
        <v>177.03782568010843</v>
      </c>
      <c r="X41" s="217">
        <f t="shared" si="11"/>
        <v>182.08135548211885</v>
      </c>
      <c r="Y41" s="217">
        <f t="shared" si="11"/>
        <v>187.1248852841295</v>
      </c>
      <c r="Z41" s="217">
        <f t="shared" si="11"/>
        <v>192.16841508613993</v>
      </c>
      <c r="AA41" s="150">
        <f t="shared" si="11"/>
        <v>195.56822397322026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2918.239</v>
      </c>
      <c r="H45" s="102">
        <f>main_nipas!M3/1000</f>
        <v>5163.1850000000004</v>
      </c>
      <c r="I45" s="102">
        <f>main_nipas!N3/1000</f>
        <v>2749.4760727414314</v>
      </c>
      <c r="J45" s="102">
        <f>main_nipas!O3/1000</f>
        <v>2651.8233912212254</v>
      </c>
      <c r="K45" s="263">
        <f>main_nipas!P3/1000</f>
        <v>2719.3294377647844</v>
      </c>
      <c r="L45" s="104">
        <f>K45*(1+L47)</f>
        <v>2746.8635237459466</v>
      </c>
      <c r="M45" s="104">
        <f t="shared" ref="M45:AA45" si="12">L45*(1+M47)</f>
        <v>2746.0255879751949</v>
      </c>
      <c r="N45" s="104">
        <f t="shared" si="12"/>
        <v>2705.901502976767</v>
      </c>
      <c r="O45" s="104">
        <f t="shared" si="12"/>
        <v>2708.9392922866236</v>
      </c>
      <c r="P45" s="104">
        <f t="shared" si="12"/>
        <v>2713.6171469859569</v>
      </c>
      <c r="Q45" s="104">
        <f t="shared" si="12"/>
        <v>2719.4166409739951</v>
      </c>
      <c r="R45" s="104">
        <f t="shared" si="12"/>
        <v>2728.4298591419433</v>
      </c>
      <c r="S45" s="104">
        <f t="shared" si="12"/>
        <v>2756.0088021875922</v>
      </c>
      <c r="T45" s="104">
        <f t="shared" si="12"/>
        <v>2782.5088060069247</v>
      </c>
      <c r="U45" s="104">
        <f t="shared" si="12"/>
        <v>2803.9781337745972</v>
      </c>
      <c r="V45" s="104">
        <f t="shared" si="12"/>
        <v>2822.363811428108</v>
      </c>
      <c r="W45" s="104">
        <f t="shared" si="12"/>
        <v>2887.503281247346</v>
      </c>
      <c r="X45" s="104">
        <f t="shared" si="12"/>
        <v>2942.4926160993214</v>
      </c>
      <c r="Y45" s="104">
        <f t="shared" si="12"/>
        <v>2988.4903004301636</v>
      </c>
      <c r="Z45" s="104">
        <f t="shared" si="12"/>
        <v>3024.5287025966472</v>
      </c>
      <c r="AA45" s="104">
        <f t="shared" si="12"/>
        <v>3043.9442013480525</v>
      </c>
      <c r="AB45" s="95"/>
    </row>
    <row r="46" spans="1:28" x14ac:dyDescent="0.2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271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584.24741309996125</v>
      </c>
      <c r="H48" s="217">
        <f t="shared" si="30"/>
        <v>3094.6219021682982</v>
      </c>
      <c r="I48" s="217">
        <f t="shared" si="30"/>
        <v>894.73597252476429</v>
      </c>
      <c r="J48" s="217">
        <f t="shared" si="30"/>
        <v>946.34373813540742</v>
      </c>
      <c r="K48" s="264">
        <f t="shared" si="30"/>
        <v>967.37032935143043</v>
      </c>
      <c r="L48" s="217">
        <f t="shared" si="30"/>
        <v>977.16526535811067</v>
      </c>
      <c r="M48" s="217">
        <f t="shared" si="30"/>
        <v>976.86717929642577</v>
      </c>
      <c r="N48" s="217">
        <f t="shared" si="30"/>
        <v>962.593495210632</v>
      </c>
      <c r="O48" s="150">
        <f t="shared" si="30"/>
        <v>963.67415399524475</v>
      </c>
      <c r="P48" s="217">
        <f t="shared" si="30"/>
        <v>965.33824727438491</v>
      </c>
      <c r="Q48" s="217">
        <f t="shared" si="30"/>
        <v>967.40135089521414</v>
      </c>
      <c r="R48" s="217">
        <f t="shared" si="30"/>
        <v>970.60770011740033</v>
      </c>
      <c r="S48" s="150">
        <f t="shared" si="30"/>
        <v>980.41859351145831</v>
      </c>
      <c r="T48" s="217">
        <f t="shared" si="30"/>
        <v>989.84566662239172</v>
      </c>
      <c r="U48" s="217">
        <f t="shared" si="30"/>
        <v>997.48313429553923</v>
      </c>
      <c r="V48" s="217">
        <f t="shared" si="30"/>
        <v>1004.0236287277419</v>
      </c>
      <c r="W48" s="150">
        <f t="shared" si="30"/>
        <v>1027.196249704702</v>
      </c>
      <c r="X48" s="217">
        <f t="shared" si="30"/>
        <v>1046.7580763182134</v>
      </c>
      <c r="Y48" s="217">
        <f t="shared" si="30"/>
        <v>1063.1212261530877</v>
      </c>
      <c r="Z48" s="217">
        <f t="shared" si="30"/>
        <v>1075.9414753251583</v>
      </c>
      <c r="AA48" s="150">
        <f t="shared" si="30"/>
        <v>1082.8483168283735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280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2">
      <c r="A3" s="260">
        <v>44196</v>
      </c>
      <c r="B3" s="259">
        <v>-43.247157750019255</v>
      </c>
      <c r="C3" s="259">
        <v>707.5431577500193</v>
      </c>
      <c r="D3" s="259">
        <v>-1907.1</v>
      </c>
      <c r="E3" s="259">
        <v>-4.3178334742540159</v>
      </c>
      <c r="F3" s="259">
        <v>30.68379862957454</v>
      </c>
      <c r="G3" s="259">
        <v>584.24741309996125</v>
      </c>
      <c r="H3" s="259">
        <v>0.60700000000008458</v>
      </c>
      <c r="I3" s="259">
        <v>68.24199999999999</v>
      </c>
    </row>
    <row r="4" spans="1:9" x14ac:dyDescent="0.2">
      <c r="A4" s="260">
        <v>44286</v>
      </c>
      <c r="B4" s="259">
        <v>-57.931315500038636</v>
      </c>
      <c r="C4" s="259">
        <v>744.85004300003868</v>
      </c>
      <c r="D4" s="259">
        <v>-1965.1</v>
      </c>
      <c r="E4" s="259">
        <v>-2.6050070145439435</v>
      </c>
      <c r="F4" s="259">
        <v>62.983597259149064</v>
      </c>
      <c r="G4" s="259">
        <v>3094.6219021682982</v>
      </c>
      <c r="H4" s="259">
        <v>2.5690000000000168</v>
      </c>
      <c r="I4" s="259">
        <v>60.199795999999935</v>
      </c>
    </row>
    <row r="5" spans="1:9" x14ac:dyDescent="0.2">
      <c r="A5" s="260">
        <v>44377</v>
      </c>
      <c r="B5" s="259">
        <v>-77.676930628146238</v>
      </c>
      <c r="C5" s="259">
        <v>776.30683737196989</v>
      </c>
      <c r="D5" s="259">
        <v>-27.737459527982537</v>
      </c>
      <c r="E5" s="259">
        <v>-2.6317117073143947</v>
      </c>
      <c r="F5" s="259">
        <v>98.551231642654102</v>
      </c>
      <c r="G5" s="259">
        <v>894.73597252476429</v>
      </c>
      <c r="H5" s="259">
        <v>442.79632714447837</v>
      </c>
      <c r="I5" s="259">
        <v>67.261751256205002</v>
      </c>
    </row>
    <row r="6" spans="1:9" x14ac:dyDescent="0.2">
      <c r="A6" s="260">
        <v>44469</v>
      </c>
      <c r="B6" s="259">
        <v>-104.35208837816538</v>
      </c>
      <c r="C6" s="259">
        <v>799.4616592294891</v>
      </c>
      <c r="D6" s="259">
        <v>-28.139041961662997</v>
      </c>
      <c r="E6" s="259">
        <v>-2.6698135814636288</v>
      </c>
      <c r="F6" s="259">
        <v>134.39780552942921</v>
      </c>
      <c r="G6" s="259">
        <v>946.34373813540742</v>
      </c>
      <c r="H6" s="259">
        <v>350.8990428229107</v>
      </c>
      <c r="I6" s="259">
        <v>63.106744514582999</v>
      </c>
    </row>
    <row r="7" spans="1:9" x14ac:dyDescent="0.2">
      <c r="A7" s="260">
        <v>44561</v>
      </c>
      <c r="B7" s="259">
        <v>-96.332412521746846</v>
      </c>
      <c r="C7" s="259">
        <v>786.13507701512674</v>
      </c>
      <c r="D7" s="259">
        <v>-28.5131067004138</v>
      </c>
      <c r="E7" s="259">
        <v>-2.7053045950249697</v>
      </c>
      <c r="F7" s="259">
        <v>141.18377161901594</v>
      </c>
      <c r="G7" s="259">
        <v>967.37032935143043</v>
      </c>
      <c r="H7" s="259">
        <v>-305.73747330127003</v>
      </c>
      <c r="I7" s="259">
        <v>60.548462812038906</v>
      </c>
    </row>
    <row r="8" spans="1:9" x14ac:dyDescent="0.2">
      <c r="A8" s="260">
        <v>44651</v>
      </c>
      <c r="B8" s="259">
        <v>-88.31273666532843</v>
      </c>
      <c r="C8" s="259">
        <v>770.98645695120399</v>
      </c>
      <c r="D8" s="259">
        <v>0</v>
      </c>
      <c r="E8" s="259">
        <v>0</v>
      </c>
      <c r="F8" s="259">
        <v>147.96973770860268</v>
      </c>
      <c r="G8" s="259">
        <v>977.16526535811067</v>
      </c>
      <c r="H8" s="259">
        <v>-333.15003590766503</v>
      </c>
      <c r="I8" s="259">
        <v>48.756826209861401</v>
      </c>
    </row>
    <row r="9" spans="1:9" x14ac:dyDescent="0.2">
      <c r="A9" s="260">
        <v>44742</v>
      </c>
      <c r="B9" s="259">
        <v>-80.293060808910013</v>
      </c>
      <c r="C9" s="259">
        <v>937.46369162020153</v>
      </c>
      <c r="D9" s="259">
        <v>0</v>
      </c>
      <c r="E9" s="259">
        <v>0</v>
      </c>
      <c r="F9" s="259">
        <v>154.75570379818942</v>
      </c>
      <c r="G9" s="259">
        <v>976.86717929642577</v>
      </c>
      <c r="H9" s="259">
        <v>-334.75716524847383</v>
      </c>
      <c r="I9" s="259">
        <v>47.075168778347972</v>
      </c>
    </row>
    <row r="10" spans="1:9" x14ac:dyDescent="0.2">
      <c r="A10" s="260">
        <v>44834</v>
      </c>
      <c r="B10" s="259">
        <v>-79.469250614594898</v>
      </c>
      <c r="C10" s="259">
        <v>1095.1715978320431</v>
      </c>
      <c r="D10" s="259">
        <v>0</v>
      </c>
      <c r="E10" s="259">
        <v>0</v>
      </c>
      <c r="F10" s="259">
        <v>161.54166988777604</v>
      </c>
      <c r="G10" s="259">
        <v>962.593495210632</v>
      </c>
      <c r="H10" s="259">
        <v>-336.33915700835234</v>
      </c>
      <c r="I10" s="259">
        <v>45.38228634829386</v>
      </c>
    </row>
    <row r="11" spans="1:9" x14ac:dyDescent="0.2">
      <c r="A11" s="260">
        <v>44926</v>
      </c>
      <c r="B11" s="259">
        <v>-78.653525672455544</v>
      </c>
      <c r="C11" s="259">
        <v>1242.6457353323383</v>
      </c>
      <c r="D11" s="259">
        <v>0</v>
      </c>
      <c r="E11" s="259">
        <v>0</v>
      </c>
      <c r="F11" s="259">
        <v>163.19431211633355</v>
      </c>
      <c r="G11" s="259">
        <v>963.67415399524475</v>
      </c>
      <c r="H11" s="259">
        <v>-337.91109373585869</v>
      </c>
      <c r="I11" s="259">
        <v>43.63461153540959</v>
      </c>
    </row>
    <row r="12" spans="1:9" x14ac:dyDescent="0.2">
      <c r="A12" s="260">
        <v>45016</v>
      </c>
      <c r="B12" s="259">
        <v>-77.837800730316189</v>
      </c>
      <c r="C12" s="259">
        <v>1387.6644608646288</v>
      </c>
      <c r="D12" s="259">
        <v>0</v>
      </c>
      <c r="E12" s="259">
        <v>0</v>
      </c>
      <c r="F12" s="259">
        <v>164.84695434489106</v>
      </c>
      <c r="G12" s="259">
        <v>965.33824727438491</v>
      </c>
      <c r="H12" s="259">
        <v>-339.47967878590765</v>
      </c>
      <c r="I12" s="259">
        <v>41.889691937128021</v>
      </c>
    </row>
    <row r="13" spans="1:9" x14ac:dyDescent="0.2">
      <c r="A13" s="260">
        <v>45107</v>
      </c>
      <c r="B13" s="259">
        <v>-77.022075788176835</v>
      </c>
      <c r="C13" s="259">
        <v>1540.4001954392188</v>
      </c>
      <c r="D13" s="259">
        <v>0</v>
      </c>
      <c r="E13" s="259">
        <v>0</v>
      </c>
      <c r="F13" s="259">
        <v>166.49959657344857</v>
      </c>
      <c r="G13" s="259">
        <v>967.40135089521414</v>
      </c>
      <c r="H13" s="259">
        <v>-341.05329135214311</v>
      </c>
      <c r="I13" s="259">
        <v>56.635167119177311</v>
      </c>
    </row>
    <row r="14" spans="1:9" x14ac:dyDescent="0.2">
      <c r="A14" s="260">
        <v>45199</v>
      </c>
      <c r="B14" s="259">
        <v>-76.206350846037481</v>
      </c>
      <c r="C14" s="259">
        <v>1692.4343837372362</v>
      </c>
      <c r="D14" s="259">
        <v>0</v>
      </c>
      <c r="E14" s="259">
        <v>0</v>
      </c>
      <c r="F14" s="259">
        <v>168.15223880200608</v>
      </c>
      <c r="G14" s="259">
        <v>970.60770011740033</v>
      </c>
      <c r="H14" s="259">
        <v>-342.64198646693649</v>
      </c>
      <c r="I14" s="259">
        <v>53.981408433973343</v>
      </c>
    </row>
    <row r="15" spans="1:9" x14ac:dyDescent="0.2">
      <c r="A15" s="260">
        <v>45291</v>
      </c>
      <c r="B15" s="259">
        <v>-77.065081629512065</v>
      </c>
      <c r="C15" s="259">
        <v>1687.1747755060521</v>
      </c>
      <c r="D15" s="259">
        <v>0</v>
      </c>
      <c r="E15" s="259">
        <v>0</v>
      </c>
      <c r="F15" s="259">
        <v>169.11275307102915</v>
      </c>
      <c r="G15" s="259">
        <v>980.41859351145831</v>
      </c>
      <c r="H15" s="259">
        <v>-344.24576413028785</v>
      </c>
      <c r="I15" s="259">
        <v>51.263606932646326</v>
      </c>
    </row>
    <row r="16" spans="1:9" x14ac:dyDescent="0.2">
      <c r="A16" s="260">
        <v>45382</v>
      </c>
      <c r="B16" s="259">
        <v>-77.923812412986649</v>
      </c>
      <c r="C16" s="259">
        <v>1686.1244449343071</v>
      </c>
      <c r="D16" s="259">
        <v>0</v>
      </c>
      <c r="E16" s="259">
        <v>0</v>
      </c>
      <c r="F16" s="259">
        <v>170.0732673400521</v>
      </c>
      <c r="G16" s="259">
        <v>989.84566662239172</v>
      </c>
      <c r="H16" s="259">
        <v>-345.85959682601151</v>
      </c>
      <c r="I16" s="259">
        <v>51.772414448603058</v>
      </c>
    </row>
    <row r="17" spans="1:9" x14ac:dyDescent="0.2">
      <c r="A17" s="260">
        <v>45473</v>
      </c>
      <c r="B17" s="259">
        <v>-78.782543196461233</v>
      </c>
      <c r="C17" s="259">
        <v>1688.9326188837076</v>
      </c>
      <c r="D17" s="259">
        <v>0</v>
      </c>
      <c r="E17" s="259">
        <v>0</v>
      </c>
      <c r="F17" s="259">
        <v>171.03378160907505</v>
      </c>
      <c r="G17" s="259">
        <v>997.48313429553923</v>
      </c>
      <c r="H17" s="259">
        <v>-347.47007784427768</v>
      </c>
      <c r="I17" s="259">
        <v>52.284929603149124</v>
      </c>
    </row>
    <row r="18" spans="1:9" x14ac:dyDescent="0.2">
      <c r="A18" s="260">
        <v>45565</v>
      </c>
      <c r="B18" s="259">
        <v>-79.641273979935818</v>
      </c>
      <c r="C18" s="259">
        <v>1697.3531630456919</v>
      </c>
      <c r="D18" s="259">
        <v>0</v>
      </c>
      <c r="E18" s="259">
        <v>0</v>
      </c>
      <c r="F18" s="259">
        <v>171.99429587809789</v>
      </c>
      <c r="G18" s="259">
        <v>1004.0236287277419</v>
      </c>
      <c r="H18" s="259">
        <v>-349.08558637873045</v>
      </c>
      <c r="I18" s="259">
        <v>52.803713366615796</v>
      </c>
    </row>
    <row r="19" spans="1:9" x14ac:dyDescent="0.2">
      <c r="A19" s="260">
        <v>45657</v>
      </c>
      <c r="B19" s="259">
        <v>-80.729086908392105</v>
      </c>
      <c r="C19" s="259">
        <v>1685.2106972510708</v>
      </c>
      <c r="D19" s="259">
        <v>0</v>
      </c>
      <c r="E19" s="259">
        <v>0</v>
      </c>
      <c r="F19" s="259">
        <v>177.03782568010843</v>
      </c>
      <c r="G19" s="259">
        <v>1027.196249704702</v>
      </c>
      <c r="H19" s="259">
        <v>-350.7044465906398</v>
      </c>
      <c r="I19" s="259">
        <v>53.328135492352658</v>
      </c>
    </row>
    <row r="20" spans="1:9" x14ac:dyDescent="0.2">
      <c r="A20" s="260">
        <v>45747</v>
      </c>
      <c r="B20" s="259">
        <v>-81.816899836848506</v>
      </c>
      <c r="C20" s="259">
        <v>1672.3666851798769</v>
      </c>
      <c r="D20" s="259">
        <v>0</v>
      </c>
      <c r="E20" s="259">
        <v>0</v>
      </c>
      <c r="F20" s="259">
        <v>182.08135548211885</v>
      </c>
      <c r="G20" s="259">
        <v>1046.7580763182134</v>
      </c>
      <c r="H20" s="259">
        <v>-352.32163096382084</v>
      </c>
      <c r="I20" s="259">
        <v>53.854882752932838</v>
      </c>
    </row>
    <row r="21" spans="1:9" x14ac:dyDescent="0.2">
      <c r="A21" s="260">
        <v>45838</v>
      </c>
      <c r="B21" s="259">
        <v>-82.904712765304794</v>
      </c>
      <c r="C21" s="259">
        <v>1662.328858214973</v>
      </c>
      <c r="D21" s="259">
        <v>0</v>
      </c>
      <c r="E21" s="259">
        <v>0</v>
      </c>
      <c r="F21" s="259">
        <v>187.1248852841295</v>
      </c>
      <c r="G21" s="259">
        <v>1063.1212261530877</v>
      </c>
      <c r="H21" s="259">
        <v>-353.91870527225819</v>
      </c>
      <c r="I21" s="259">
        <v>54.384605669423934</v>
      </c>
    </row>
    <row r="22" spans="1:9" x14ac:dyDescent="0.2">
      <c r="A22" s="260">
        <v>45930</v>
      </c>
      <c r="B22" s="259">
        <v>-83.992525693761195</v>
      </c>
      <c r="C22" s="259">
        <v>1655.4479894946455</v>
      </c>
      <c r="D22" s="259">
        <v>0</v>
      </c>
      <c r="E22" s="259">
        <v>0</v>
      </c>
      <c r="F22" s="259">
        <v>192.16841508613993</v>
      </c>
      <c r="G22" s="259">
        <v>1075.9414753251583</v>
      </c>
      <c r="H22" s="259">
        <v>-355.5040487095942</v>
      </c>
      <c r="I22" s="259">
        <v>54.916846529514942</v>
      </c>
    </row>
    <row r="23" spans="1:9" x14ac:dyDescent="0.2">
      <c r="A23" s="260">
        <v>46022</v>
      </c>
      <c r="B23" s="259">
        <v>-85.124499499577837</v>
      </c>
      <c r="C23" s="259">
        <v>1647.2064516303462</v>
      </c>
      <c r="D23" s="259">
        <v>0</v>
      </c>
      <c r="E23" s="259">
        <v>0</v>
      </c>
      <c r="F23" s="259">
        <v>195.56822397322026</v>
      </c>
      <c r="G23" s="259">
        <v>1082.8483168283735</v>
      </c>
      <c r="H23" s="259">
        <v>-357.07766127582966</v>
      </c>
      <c r="I23" s="259">
        <v>55.453351965988816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workbookViewId="0">
      <selection activeCell="B1" sqref="B1"/>
    </sheetView>
  </sheetViews>
  <sheetFormatPr baseColWidth="10" defaultColWidth="8.83203125" defaultRowHeight="15" x14ac:dyDescent="0.2"/>
  <cols>
    <col min="11" max="11" width="9.5" bestFit="1" customWidth="1"/>
  </cols>
  <sheetData>
    <row r="1" spans="1:11" s="297" customFormat="1" x14ac:dyDescent="0.2">
      <c r="A1" s="350" t="s">
        <v>312</v>
      </c>
      <c r="B1" s="350" t="s">
        <v>313</v>
      </c>
      <c r="C1" s="350" t="s">
        <v>314</v>
      </c>
      <c r="D1" s="350" t="s">
        <v>315</v>
      </c>
      <c r="E1" s="350" t="s">
        <v>316</v>
      </c>
      <c r="F1" s="350" t="s">
        <v>317</v>
      </c>
      <c r="G1" s="350" t="s">
        <v>318</v>
      </c>
      <c r="H1" s="350" t="s">
        <v>319</v>
      </c>
      <c r="I1" s="350" t="s">
        <v>320</v>
      </c>
      <c r="J1" s="350" t="s">
        <v>363</v>
      </c>
      <c r="K1" s="350" t="s">
        <v>400</v>
      </c>
    </row>
    <row r="2" spans="1:11" x14ac:dyDescent="0.2">
      <c r="A2" t="s">
        <v>282</v>
      </c>
      <c r="B2" t="s">
        <v>401</v>
      </c>
      <c r="C2" t="s">
        <v>402</v>
      </c>
      <c r="D2" t="s">
        <v>403</v>
      </c>
      <c r="E2" t="s">
        <v>404</v>
      </c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 t="s">
        <v>410</v>
      </c>
    </row>
    <row r="3" spans="1:11" x14ac:dyDescent="0.2">
      <c r="A3" t="s">
        <v>283</v>
      </c>
      <c r="B3" t="s">
        <v>411</v>
      </c>
      <c r="C3" t="s">
        <v>412</v>
      </c>
      <c r="D3" t="s">
        <v>413</v>
      </c>
      <c r="E3" t="s">
        <v>414</v>
      </c>
      <c r="F3" t="s">
        <v>415</v>
      </c>
      <c r="G3" t="s">
        <v>416</v>
      </c>
      <c r="H3" t="s">
        <v>417</v>
      </c>
      <c r="I3" t="s">
        <v>418</v>
      </c>
      <c r="J3" t="s">
        <v>419</v>
      </c>
      <c r="K3" t="s">
        <v>420</v>
      </c>
    </row>
    <row r="4" spans="1:11" x14ac:dyDescent="0.2">
      <c r="A4" t="s">
        <v>284</v>
      </c>
      <c r="B4" t="s">
        <v>421</v>
      </c>
      <c r="C4" t="s">
        <v>422</v>
      </c>
      <c r="D4" t="s">
        <v>423</v>
      </c>
      <c r="E4" t="s">
        <v>424</v>
      </c>
      <c r="F4" t="s">
        <v>425</v>
      </c>
      <c r="G4" t="s">
        <v>426</v>
      </c>
      <c r="H4" t="s">
        <v>427</v>
      </c>
      <c r="I4" t="s">
        <v>428</v>
      </c>
      <c r="J4" t="s">
        <v>429</v>
      </c>
      <c r="K4" t="s">
        <v>430</v>
      </c>
    </row>
    <row r="5" spans="1:11" x14ac:dyDescent="0.2">
      <c r="A5" t="s">
        <v>285</v>
      </c>
      <c r="B5" t="s">
        <v>431</v>
      </c>
      <c r="C5" t="s">
        <v>432</v>
      </c>
      <c r="D5" t="s">
        <v>433</v>
      </c>
      <c r="E5" t="s">
        <v>434</v>
      </c>
      <c r="F5" t="s">
        <v>435</v>
      </c>
      <c r="G5" t="s">
        <v>436</v>
      </c>
      <c r="H5" t="s">
        <v>437</v>
      </c>
      <c r="I5" t="s">
        <v>438</v>
      </c>
      <c r="J5" t="s">
        <v>439</v>
      </c>
      <c r="K5" t="s">
        <v>440</v>
      </c>
    </row>
    <row r="6" spans="1:11" x14ac:dyDescent="0.2">
      <c r="A6" t="s">
        <v>286</v>
      </c>
      <c r="B6" t="s">
        <v>441</v>
      </c>
      <c r="C6" t="s">
        <v>442</v>
      </c>
      <c r="D6" t="s">
        <v>443</v>
      </c>
      <c r="E6" t="s">
        <v>444</v>
      </c>
      <c r="F6" t="s">
        <v>445</v>
      </c>
      <c r="G6" t="s">
        <v>446</v>
      </c>
      <c r="H6" t="s">
        <v>447</v>
      </c>
      <c r="I6" t="s">
        <v>448</v>
      </c>
      <c r="J6" t="s">
        <v>449</v>
      </c>
      <c r="K6" t="s">
        <v>450</v>
      </c>
    </row>
    <row r="7" spans="1:11" x14ac:dyDescent="0.2">
      <c r="A7" t="s">
        <v>287</v>
      </c>
      <c r="B7" t="s">
        <v>451</v>
      </c>
      <c r="C7" t="s">
        <v>452</v>
      </c>
      <c r="D7" t="s">
        <v>453</v>
      </c>
      <c r="E7" t="s">
        <v>454</v>
      </c>
      <c r="F7" t="s">
        <v>455</v>
      </c>
      <c r="G7" t="s">
        <v>456</v>
      </c>
      <c r="H7" t="s">
        <v>457</v>
      </c>
      <c r="I7" t="s">
        <v>458</v>
      </c>
      <c r="J7" t="s">
        <v>459</v>
      </c>
      <c r="K7" t="s">
        <v>460</v>
      </c>
    </row>
    <row r="8" spans="1:11" x14ac:dyDescent="0.2">
      <c r="A8" t="s">
        <v>288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  <c r="H8" t="s">
        <v>467</v>
      </c>
      <c r="I8" t="s">
        <v>468</v>
      </c>
      <c r="J8" t="s">
        <v>469</v>
      </c>
      <c r="K8" t="s">
        <v>470</v>
      </c>
    </row>
    <row r="9" spans="1:11" x14ac:dyDescent="0.2">
      <c r="A9" t="s">
        <v>289</v>
      </c>
      <c r="B9" t="s">
        <v>471</v>
      </c>
      <c r="C9" t="s">
        <v>472</v>
      </c>
      <c r="D9" t="s">
        <v>473</v>
      </c>
      <c r="E9" t="s">
        <v>474</v>
      </c>
      <c r="F9" t="s">
        <v>475</v>
      </c>
      <c r="G9" t="s">
        <v>476</v>
      </c>
      <c r="H9" t="s">
        <v>477</v>
      </c>
      <c r="I9" t="s">
        <v>478</v>
      </c>
      <c r="J9" t="s">
        <v>479</v>
      </c>
      <c r="K9" t="s">
        <v>480</v>
      </c>
    </row>
    <row r="10" spans="1:11" x14ac:dyDescent="0.2">
      <c r="A10" t="s">
        <v>321</v>
      </c>
      <c r="B10" t="s">
        <v>481</v>
      </c>
      <c r="C10" t="s">
        <v>482</v>
      </c>
      <c r="D10" t="s">
        <v>483</v>
      </c>
      <c r="E10" t="s">
        <v>484</v>
      </c>
      <c r="F10" t="s">
        <v>485</v>
      </c>
      <c r="G10" t="s">
        <v>486</v>
      </c>
      <c r="H10" t="s">
        <v>487</v>
      </c>
      <c r="I10" t="s">
        <v>488</v>
      </c>
      <c r="J10" t="s">
        <v>489</v>
      </c>
      <c r="K10" t="s">
        <v>490</v>
      </c>
    </row>
    <row r="11" spans="1:11" x14ac:dyDescent="0.2">
      <c r="A11" t="s">
        <v>322</v>
      </c>
      <c r="B11" t="s">
        <v>491</v>
      </c>
      <c r="C11" t="s">
        <v>492</v>
      </c>
      <c r="D11" t="s">
        <v>493</v>
      </c>
      <c r="E11" t="s">
        <v>494</v>
      </c>
      <c r="F11" t="s">
        <v>495</v>
      </c>
      <c r="G11" t="s">
        <v>496</v>
      </c>
      <c r="H11" t="s">
        <v>497</v>
      </c>
      <c r="I11" t="s">
        <v>498</v>
      </c>
      <c r="J11" t="s">
        <v>499</v>
      </c>
      <c r="K11" t="s">
        <v>500</v>
      </c>
    </row>
    <row r="12" spans="1:11" x14ac:dyDescent="0.2">
      <c r="A12" t="s">
        <v>291</v>
      </c>
      <c r="B12" t="s">
        <v>501</v>
      </c>
      <c r="C12" t="s">
        <v>502</v>
      </c>
      <c r="D12" t="s">
        <v>503</v>
      </c>
      <c r="E12" t="s">
        <v>504</v>
      </c>
      <c r="F12" t="s">
        <v>505</v>
      </c>
      <c r="G12" t="s">
        <v>506</v>
      </c>
      <c r="H12" t="s">
        <v>507</v>
      </c>
      <c r="I12" t="s">
        <v>508</v>
      </c>
      <c r="J12" t="s">
        <v>509</v>
      </c>
      <c r="K12" t="s">
        <v>510</v>
      </c>
    </row>
    <row r="13" spans="1:11" x14ac:dyDescent="0.2">
      <c r="A13" t="s">
        <v>292</v>
      </c>
      <c r="B13" t="s">
        <v>511</v>
      </c>
      <c r="C13" t="s">
        <v>512</v>
      </c>
      <c r="D13" t="s">
        <v>513</v>
      </c>
      <c r="E13" t="s">
        <v>514</v>
      </c>
      <c r="F13" t="s">
        <v>515</v>
      </c>
      <c r="G13" t="s">
        <v>516</v>
      </c>
      <c r="H13" t="s">
        <v>517</v>
      </c>
      <c r="I13" t="s">
        <v>518</v>
      </c>
      <c r="J13" t="s">
        <v>519</v>
      </c>
      <c r="K13" t="s">
        <v>520</v>
      </c>
    </row>
    <row r="14" spans="1:11" x14ac:dyDescent="0.2">
      <c r="A14" t="s">
        <v>293</v>
      </c>
      <c r="B14" t="s">
        <v>521</v>
      </c>
      <c r="C14" t="s">
        <v>522</v>
      </c>
      <c r="D14" t="s">
        <v>523</v>
      </c>
      <c r="E14" t="s">
        <v>524</v>
      </c>
      <c r="F14" t="s">
        <v>525</v>
      </c>
      <c r="G14" t="s">
        <v>526</v>
      </c>
      <c r="H14" t="s">
        <v>527</v>
      </c>
      <c r="I14" t="s">
        <v>528</v>
      </c>
      <c r="J14" t="s">
        <v>529</v>
      </c>
      <c r="K14" t="s">
        <v>530</v>
      </c>
    </row>
    <row r="15" spans="1:11" x14ac:dyDescent="0.2">
      <c r="A15" t="s">
        <v>294</v>
      </c>
      <c r="H15" t="s">
        <v>531</v>
      </c>
      <c r="I15" t="s">
        <v>532</v>
      </c>
      <c r="J15" t="s">
        <v>533</v>
      </c>
      <c r="K15" t="s">
        <v>534</v>
      </c>
    </row>
    <row r="16" spans="1:11" x14ac:dyDescent="0.2">
      <c r="A16" t="s">
        <v>295</v>
      </c>
      <c r="B16" t="s">
        <v>535</v>
      </c>
      <c r="C16" t="s">
        <v>536</v>
      </c>
      <c r="D16" t="s">
        <v>537</v>
      </c>
      <c r="E16" t="s">
        <v>538</v>
      </c>
      <c r="F16" t="s">
        <v>539</v>
      </c>
      <c r="G16" t="s">
        <v>540</v>
      </c>
      <c r="H16" t="s">
        <v>541</v>
      </c>
      <c r="I16" t="s">
        <v>542</v>
      </c>
      <c r="J16" t="s">
        <v>543</v>
      </c>
      <c r="K16" t="s">
        <v>544</v>
      </c>
    </row>
    <row r="17" spans="1:11" x14ac:dyDescent="0.2">
      <c r="A17" t="s">
        <v>296</v>
      </c>
      <c r="H17" t="s">
        <v>545</v>
      </c>
      <c r="I17" t="s">
        <v>546</v>
      </c>
      <c r="J17" t="s">
        <v>547</v>
      </c>
      <c r="K17" t="s">
        <v>547</v>
      </c>
    </row>
    <row r="18" spans="1:11" x14ac:dyDescent="0.2">
      <c r="A18" t="s">
        <v>297</v>
      </c>
      <c r="H18" t="s">
        <v>548</v>
      </c>
      <c r="I18" t="s">
        <v>549</v>
      </c>
      <c r="J18" t="s">
        <v>550</v>
      </c>
      <c r="K18" t="s">
        <v>551</v>
      </c>
    </row>
    <row r="19" spans="1:11" x14ac:dyDescent="0.2">
      <c r="A19" t="s">
        <v>298</v>
      </c>
      <c r="B19" t="s">
        <v>552</v>
      </c>
      <c r="C19" t="s">
        <v>553</v>
      </c>
      <c r="D19" t="s">
        <v>554</v>
      </c>
      <c r="E19" t="s">
        <v>555</v>
      </c>
      <c r="F19" t="s">
        <v>556</v>
      </c>
      <c r="G19" t="s">
        <v>557</v>
      </c>
      <c r="H19" t="s">
        <v>558</v>
      </c>
      <c r="I19" t="s">
        <v>559</v>
      </c>
      <c r="J19" t="s">
        <v>560</v>
      </c>
      <c r="K19" t="s">
        <v>561</v>
      </c>
    </row>
    <row r="20" spans="1:11" x14ac:dyDescent="0.2">
      <c r="A20" t="s">
        <v>299</v>
      </c>
      <c r="H20" t="s">
        <v>562</v>
      </c>
      <c r="I20" t="s">
        <v>563</v>
      </c>
      <c r="J20" t="s">
        <v>564</v>
      </c>
      <c r="K20" t="s">
        <v>565</v>
      </c>
    </row>
    <row r="21" spans="1:11" x14ac:dyDescent="0.2">
      <c r="A21" t="s">
        <v>300</v>
      </c>
      <c r="H21" t="s">
        <v>566</v>
      </c>
      <c r="I21" t="s">
        <v>567</v>
      </c>
      <c r="J21" t="s">
        <v>568</v>
      </c>
      <c r="K21" t="s">
        <v>569</v>
      </c>
    </row>
    <row r="22" spans="1:11" x14ac:dyDescent="0.2">
      <c r="A22" t="s">
        <v>301</v>
      </c>
      <c r="H22" t="s">
        <v>570</v>
      </c>
      <c r="I22" t="s">
        <v>570</v>
      </c>
      <c r="J22" t="s">
        <v>570</v>
      </c>
      <c r="K22" t="s">
        <v>570</v>
      </c>
    </row>
    <row r="23" spans="1:11" x14ac:dyDescent="0.2">
      <c r="A23" t="s">
        <v>302</v>
      </c>
      <c r="H23" t="s">
        <v>571</v>
      </c>
      <c r="I23" t="s">
        <v>571</v>
      </c>
      <c r="J23" t="s">
        <v>571</v>
      </c>
      <c r="K23" t="s">
        <v>572</v>
      </c>
    </row>
    <row r="24" spans="1:11" x14ac:dyDescent="0.2">
      <c r="A24" t="s">
        <v>303</v>
      </c>
      <c r="B24" t="s">
        <v>573</v>
      </c>
      <c r="C24" t="s">
        <v>574</v>
      </c>
      <c r="D24" t="s">
        <v>575</v>
      </c>
      <c r="E24" t="s">
        <v>576</v>
      </c>
      <c r="F24" t="s">
        <v>577</v>
      </c>
      <c r="G24" t="s">
        <v>578</v>
      </c>
      <c r="H24" t="s">
        <v>579</v>
      </c>
      <c r="I24" t="s">
        <v>580</v>
      </c>
      <c r="J24" t="s">
        <v>581</v>
      </c>
      <c r="K24" t="s">
        <v>582</v>
      </c>
    </row>
    <row r="25" spans="1:11" x14ac:dyDescent="0.2">
      <c r="A25" t="s">
        <v>306</v>
      </c>
      <c r="B25" t="s">
        <v>583</v>
      </c>
      <c r="C25" t="s">
        <v>584</v>
      </c>
      <c r="D25" t="s">
        <v>585</v>
      </c>
      <c r="E25" t="s">
        <v>586</v>
      </c>
      <c r="F25" t="s">
        <v>587</v>
      </c>
      <c r="G25" t="s">
        <v>588</v>
      </c>
      <c r="H25" t="s">
        <v>589</v>
      </c>
      <c r="I25" t="s">
        <v>590</v>
      </c>
      <c r="J25" t="s">
        <v>591</v>
      </c>
      <c r="K25" t="s">
        <v>592</v>
      </c>
    </row>
    <row r="26" spans="1:11" x14ac:dyDescent="0.2">
      <c r="A26" t="s">
        <v>305</v>
      </c>
      <c r="B26" t="s">
        <v>593</v>
      </c>
      <c r="C26" t="s">
        <v>594</v>
      </c>
      <c r="D26" t="s">
        <v>595</v>
      </c>
      <c r="E26" t="s">
        <v>596</v>
      </c>
      <c r="F26" t="s">
        <v>597</v>
      </c>
      <c r="G26" t="s">
        <v>598</v>
      </c>
      <c r="H26" t="s">
        <v>599</v>
      </c>
      <c r="I26" t="s">
        <v>600</v>
      </c>
      <c r="J26" t="s">
        <v>601</v>
      </c>
      <c r="K26" t="s">
        <v>602</v>
      </c>
    </row>
    <row r="27" spans="1:11" x14ac:dyDescent="0.2">
      <c r="A27" t="s">
        <v>307</v>
      </c>
      <c r="B27" t="s">
        <v>603</v>
      </c>
      <c r="C27" t="s">
        <v>604</v>
      </c>
      <c r="D27" t="s">
        <v>605</v>
      </c>
      <c r="E27" t="s">
        <v>606</v>
      </c>
      <c r="F27" t="s">
        <v>607</v>
      </c>
      <c r="G27" t="s">
        <v>608</v>
      </c>
      <c r="H27" t="s">
        <v>609</v>
      </c>
      <c r="I27" t="s">
        <v>610</v>
      </c>
      <c r="J27" t="s">
        <v>611</v>
      </c>
      <c r="K27" t="s">
        <v>612</v>
      </c>
    </row>
    <row r="28" spans="1:11" x14ac:dyDescent="0.2">
      <c r="A28" t="s">
        <v>308</v>
      </c>
      <c r="B28" t="s">
        <v>613</v>
      </c>
      <c r="C28" t="s">
        <v>614</v>
      </c>
      <c r="D28" t="s">
        <v>615</v>
      </c>
      <c r="E28" t="s">
        <v>616</v>
      </c>
      <c r="F28" t="s">
        <v>617</v>
      </c>
      <c r="G28" t="s">
        <v>618</v>
      </c>
      <c r="H28" t="s">
        <v>619</v>
      </c>
      <c r="I28" t="s">
        <v>620</v>
      </c>
      <c r="J28" t="s">
        <v>621</v>
      </c>
      <c r="K28" t="s">
        <v>622</v>
      </c>
    </row>
    <row r="29" spans="1:11" x14ac:dyDescent="0.2">
      <c r="A29" t="s">
        <v>309</v>
      </c>
      <c r="B29" t="s">
        <v>623</v>
      </c>
      <c r="C29" t="s">
        <v>624</v>
      </c>
      <c r="D29" t="s">
        <v>625</v>
      </c>
      <c r="E29" t="s">
        <v>626</v>
      </c>
      <c r="F29" t="s">
        <v>627</v>
      </c>
      <c r="G29" t="s">
        <v>628</v>
      </c>
      <c r="H29" t="s">
        <v>629</v>
      </c>
      <c r="I29" t="s">
        <v>630</v>
      </c>
      <c r="J29" t="s">
        <v>631</v>
      </c>
      <c r="K29" t="s">
        <v>632</v>
      </c>
    </row>
    <row r="30" spans="1:11" x14ac:dyDescent="0.2">
      <c r="A30" t="s">
        <v>310</v>
      </c>
      <c r="B30" t="s">
        <v>633</v>
      </c>
      <c r="C30" t="s">
        <v>634</v>
      </c>
      <c r="D30" t="s">
        <v>635</v>
      </c>
      <c r="E30" t="s">
        <v>636</v>
      </c>
      <c r="F30" t="s">
        <v>637</v>
      </c>
      <c r="G30" t="s">
        <v>638</v>
      </c>
      <c r="H30" t="s">
        <v>639</v>
      </c>
      <c r="I30" t="s">
        <v>640</v>
      </c>
      <c r="J30" t="s">
        <v>641</v>
      </c>
      <c r="K30" t="s">
        <v>642</v>
      </c>
    </row>
    <row r="31" spans="1:11" x14ac:dyDescent="0.2">
      <c r="A31" t="s">
        <v>311</v>
      </c>
      <c r="B31" t="s">
        <v>643</v>
      </c>
      <c r="C31" t="s">
        <v>644</v>
      </c>
      <c r="D31" t="s">
        <v>645</v>
      </c>
      <c r="E31" t="s">
        <v>646</v>
      </c>
      <c r="F31" t="s">
        <v>647</v>
      </c>
      <c r="G31" t="s">
        <v>648</v>
      </c>
      <c r="H31" t="s">
        <v>649</v>
      </c>
      <c r="I31" t="s">
        <v>650</v>
      </c>
      <c r="J31" t="s">
        <v>651</v>
      </c>
      <c r="K31" t="s">
        <v>652</v>
      </c>
    </row>
    <row r="32" spans="1:11" x14ac:dyDescent="0.2">
      <c r="A32" t="s">
        <v>290</v>
      </c>
      <c r="B32" t="s">
        <v>653</v>
      </c>
      <c r="C32" t="s">
        <v>654</v>
      </c>
      <c r="D32" t="s">
        <v>655</v>
      </c>
      <c r="E32" t="s">
        <v>656</v>
      </c>
      <c r="F32" t="s">
        <v>657</v>
      </c>
      <c r="G32" t="s">
        <v>658</v>
      </c>
      <c r="H32" t="s">
        <v>659</v>
      </c>
      <c r="I32" t="s">
        <v>660</v>
      </c>
      <c r="J32" t="s">
        <v>661</v>
      </c>
      <c r="K32" t="s">
        <v>662</v>
      </c>
    </row>
    <row r="33" spans="1:11" x14ac:dyDescent="0.2">
      <c r="A33" t="s">
        <v>324</v>
      </c>
      <c r="H33" t="s">
        <v>663</v>
      </c>
      <c r="I33" t="s">
        <v>664</v>
      </c>
      <c r="J33" t="s">
        <v>665</v>
      </c>
      <c r="K33" t="s">
        <v>666</v>
      </c>
    </row>
    <row r="34" spans="1:11" x14ac:dyDescent="0.2">
      <c r="A34" t="s">
        <v>304</v>
      </c>
      <c r="H34" t="s">
        <v>667</v>
      </c>
      <c r="I34" t="s">
        <v>668</v>
      </c>
      <c r="J34" t="s">
        <v>669</v>
      </c>
      <c r="K34" t="s">
        <v>670</v>
      </c>
    </row>
  </sheetData>
  <phoneticPr fontId="3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250</v>
      </c>
      <c r="B1" t="s">
        <v>281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232</v>
      </c>
      <c r="C8" s="160"/>
      <c r="D8" s="161">
        <f>SUMPRODUCT(B5:B6,C5:C6)</f>
        <v>0.45</v>
      </c>
    </row>
    <row r="9" spans="1:16" x14ac:dyDescent="0.2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232</v>
      </c>
      <c r="C8" s="160"/>
      <c r="D8" s="161">
        <f>SUMPRODUCT(B5:B6,C5:C6)</f>
        <v>0.52500000000000002</v>
      </c>
    </row>
    <row r="9" spans="1:16" x14ac:dyDescent="0.2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15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2"/>
      <c r="S8" s="37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2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53" t="s">
        <v>203</v>
      </c>
      <c r="B1" s="353"/>
      <c r="C1" s="35"/>
      <c r="H1"/>
      <c r="I1"/>
      <c r="J1"/>
      <c r="X1" t="s">
        <v>27</v>
      </c>
      <c r="Z1" s="374" t="s">
        <v>83</v>
      </c>
      <c r="AA1" s="374"/>
      <c r="AB1" s="374"/>
      <c r="AC1" s="352"/>
      <c r="AD1" s="352"/>
      <c r="AE1" s="352"/>
      <c r="AF1" s="352"/>
    </row>
    <row r="2" spans="1:32" x14ac:dyDescent="0.2">
      <c r="A2" s="375" t="s">
        <v>189</v>
      </c>
      <c r="B2" s="107"/>
      <c r="C2" t="s">
        <v>190</v>
      </c>
    </row>
    <row r="3" spans="1:32" x14ac:dyDescent="0.2">
      <c r="A3" s="375"/>
      <c r="B3" s="108"/>
      <c r="C3" t="s">
        <v>191</v>
      </c>
    </row>
    <row r="4" spans="1:32" x14ac:dyDescent="0.2">
      <c r="A4" s="375"/>
      <c r="B4" s="109"/>
      <c r="C4" t="s">
        <v>192</v>
      </c>
    </row>
    <row r="5" spans="1:32" x14ac:dyDescent="0.2">
      <c r="A5" s="375"/>
      <c r="B5" s="98"/>
      <c r="C5" t="s">
        <v>179</v>
      </c>
    </row>
    <row r="7" spans="1:32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7"/>
    </row>
    <row r="8" spans="1:32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182</v>
      </c>
      <c r="B23" s="110"/>
    </row>
    <row r="24" spans="1:12" x14ac:dyDescent="0.2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185</v>
      </c>
      <c r="B31" s="110"/>
    </row>
    <row r="32" spans="1:12" x14ac:dyDescent="0.2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186</v>
      </c>
      <c r="B53" s="105"/>
    </row>
    <row r="54" spans="1:12" x14ac:dyDescent="0.2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187</v>
      </c>
      <c r="B61" s="105"/>
    </row>
    <row r="62" spans="1:12" x14ac:dyDescent="0.2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610.40700000000004</v>
      </c>
      <c r="H70" s="102">
        <f>main!O54/1000</f>
        <v>405.26900000000001</v>
      </c>
      <c r="I70" s="102">
        <f>main!P54/1000</f>
        <v>847.38358333333338</v>
      </c>
      <c r="J70" s="102">
        <f>main!Q54/1000</f>
        <v>757.41691666666668</v>
      </c>
      <c r="K70" s="102">
        <f>main!R54/1000</f>
        <v>102.75024999999999</v>
      </c>
    </row>
    <row r="71" spans="1:11" x14ac:dyDescent="0.2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-482.97633871420987</v>
      </c>
      <c r="H72" s="103">
        <f t="shared" si="23"/>
        <v>-691.81913151564004</v>
      </c>
      <c r="I72" s="103">
        <f t="shared" si="23"/>
        <v>-253.66952490565666</v>
      </c>
      <c r="J72" s="103">
        <f t="shared" si="23"/>
        <v>-347.91791393977326</v>
      </c>
      <c r="K72" s="103">
        <f t="shared" si="23"/>
        <v>-1007.2000171346299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76" t="s">
        <v>103</v>
      </c>
      <c r="B2" s="376"/>
      <c r="C2" s="376"/>
      <c r="D2" s="376"/>
      <c r="E2" s="376"/>
      <c r="F2" s="376"/>
      <c r="G2" s="376"/>
      <c r="H2" s="376"/>
      <c r="I2" s="376"/>
      <c r="J2" s="376"/>
      <c r="K2" s="77"/>
    </row>
    <row r="3" spans="1:24" x14ac:dyDescent="0.2">
      <c r="A3" s="376" t="s">
        <v>104</v>
      </c>
      <c r="B3" s="376"/>
      <c r="C3" s="376"/>
      <c r="D3" s="376"/>
      <c r="E3" s="376"/>
      <c r="F3" s="376"/>
      <c r="G3" s="376"/>
      <c r="H3" s="376"/>
      <c r="I3" s="376"/>
      <c r="J3" s="376"/>
      <c r="K3" s="77"/>
    </row>
    <row r="4" spans="1:24" ht="16" thickBot="1" x14ac:dyDescent="0.25">
      <c r="A4" s="377"/>
      <c r="B4" s="377"/>
      <c r="C4" s="377"/>
      <c r="D4" s="377"/>
      <c r="E4" s="377"/>
      <c r="F4" s="377"/>
      <c r="G4" s="377"/>
      <c r="H4" s="377"/>
      <c r="I4" s="377"/>
      <c r="J4" s="377"/>
      <c r="K4" s="382" t="s">
        <v>159</v>
      </c>
      <c r="L4" s="382"/>
      <c r="M4" s="382"/>
      <c r="N4" s="382"/>
    </row>
    <row r="5" spans="1:24" x14ac:dyDescent="0.2">
      <c r="A5" s="47"/>
      <c r="B5" s="48"/>
      <c r="C5" s="378" t="s">
        <v>105</v>
      </c>
      <c r="D5" s="379"/>
      <c r="E5" s="379"/>
      <c r="F5" s="379"/>
      <c r="G5" s="379"/>
      <c r="H5" s="379"/>
      <c r="I5" s="379"/>
      <c r="J5" s="380"/>
      <c r="K5" s="78"/>
      <c r="L5" s="381" t="s">
        <v>106</v>
      </c>
      <c r="M5" s="352"/>
      <c r="N5" s="352"/>
    </row>
    <row r="6" spans="1:24" x14ac:dyDescent="0.2">
      <c r="A6" s="1" t="s">
        <v>108</v>
      </c>
      <c r="B6" s="49"/>
      <c r="C6" s="384">
        <v>2020</v>
      </c>
      <c r="D6" s="385"/>
      <c r="E6" s="385"/>
      <c r="F6" s="385"/>
      <c r="G6" s="385"/>
      <c r="H6" s="385"/>
      <c r="I6" s="385"/>
      <c r="J6" s="386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2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2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136</v>
      </c>
    </row>
    <row r="17" spans="3:23" x14ac:dyDescent="0.2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135</v>
      </c>
    </row>
    <row r="21" spans="3:23" x14ac:dyDescent="0.2">
      <c r="C21" s="69" t="s">
        <v>120</v>
      </c>
      <c r="D21" s="69"/>
      <c r="E21" s="69"/>
      <c r="F21" s="70"/>
      <c r="G21" s="67"/>
    </row>
    <row r="22" spans="3:23" x14ac:dyDescent="0.2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52" t="s">
        <v>9</v>
      </c>
      <c r="L22" s="352"/>
      <c r="M22" s="352"/>
      <c r="N22" s="352"/>
      <c r="O22" s="352" t="s">
        <v>10</v>
      </c>
      <c r="P22" s="352"/>
      <c r="Q22" s="352"/>
      <c r="R22" s="352"/>
      <c r="S22" s="352" t="s">
        <v>11</v>
      </c>
      <c r="T22" s="352"/>
      <c r="U22" s="352"/>
      <c r="V22" s="352"/>
    </row>
    <row r="23" spans="3:23" x14ac:dyDescent="0.2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387" t="s">
        <v>107</v>
      </c>
      <c r="L23" s="387"/>
      <c r="M23" s="387"/>
      <c r="N23" s="387"/>
      <c r="O23" s="35" t="s">
        <v>145</v>
      </c>
      <c r="P23" s="35"/>
      <c r="Q23" s="35"/>
      <c r="R23" s="35"/>
    </row>
    <row r="24" spans="3:23" x14ac:dyDescent="0.2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83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125</v>
      </c>
      <c r="F29">
        <f>557</f>
        <v>557</v>
      </c>
      <c r="G29">
        <v>166</v>
      </c>
      <c r="H29">
        <v>67</v>
      </c>
      <c r="I29" s="383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83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383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83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83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261</v>
      </c>
    </row>
    <row r="37" spans="3:23" x14ac:dyDescent="0.2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364</v>
      </c>
    </row>
    <row r="43" spans="3:23" x14ac:dyDescent="0.2">
      <c r="N43" s="82" t="s">
        <v>143</v>
      </c>
      <c r="O43" s="72">
        <v>15</v>
      </c>
    </row>
    <row r="44" spans="3:23" x14ac:dyDescent="0.2">
      <c r="N44" s="82" t="s">
        <v>142</v>
      </c>
      <c r="O44" s="72">
        <v>10</v>
      </c>
    </row>
    <row r="45" spans="3:23" x14ac:dyDescent="0.2">
      <c r="N45" s="82" t="s">
        <v>141</v>
      </c>
      <c r="O45" s="72">
        <v>5</v>
      </c>
    </row>
    <row r="46" spans="3:23" x14ac:dyDescent="0.2">
      <c r="N46" s="35" t="s">
        <v>139</v>
      </c>
      <c r="O46" s="72">
        <v>2</v>
      </c>
    </row>
    <row r="47" spans="3:23" x14ac:dyDescent="0.2">
      <c r="N47" s="316" t="s">
        <v>252</v>
      </c>
      <c r="O47">
        <v>32</v>
      </c>
    </row>
    <row r="48" spans="3:23" x14ac:dyDescent="0.2">
      <c r="N48" t="s">
        <v>253</v>
      </c>
      <c r="O48">
        <v>36.75</v>
      </c>
    </row>
    <row r="49" spans="14:15" x14ac:dyDescent="0.2">
      <c r="N49" t="s">
        <v>144</v>
      </c>
      <c r="O49">
        <v>47</v>
      </c>
    </row>
    <row r="50" spans="14:15" x14ac:dyDescent="0.2">
      <c r="N50" t="s">
        <v>128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84</v>
      </c>
    </row>
    <row r="2" spans="1:18" x14ac:dyDescent="0.2">
      <c r="A2" t="s">
        <v>85</v>
      </c>
    </row>
    <row r="4" spans="1:18" x14ac:dyDescent="0.2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91" t="s">
        <v>86</v>
      </c>
      <c r="F6" s="391"/>
      <c r="G6" s="391"/>
      <c r="H6" s="391"/>
      <c r="I6" s="391"/>
      <c r="J6" s="391"/>
      <c r="K6" s="391"/>
      <c r="L6" s="391"/>
      <c r="M6" s="391"/>
      <c r="N6" s="391"/>
      <c r="O6" s="391"/>
      <c r="P6" s="391"/>
      <c r="Q6" s="391"/>
      <c r="R6" s="391"/>
    </row>
    <row r="7" spans="1:18" x14ac:dyDescent="0.2">
      <c r="A7" s="388" t="s">
        <v>87</v>
      </c>
      <c r="B7" s="388"/>
      <c r="C7" s="388"/>
      <c r="D7" s="38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88" t="s">
        <v>88</v>
      </c>
      <c r="C8" s="388"/>
      <c r="D8" s="38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88" t="s">
        <v>89</v>
      </c>
      <c r="C9" s="388"/>
      <c r="D9" s="38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88" t="s">
        <v>90</v>
      </c>
      <c r="C10" s="388"/>
      <c r="D10" s="38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88" t="s">
        <v>57</v>
      </c>
      <c r="C11" s="388"/>
      <c r="D11" s="38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2">
      <c r="A13" s="36"/>
      <c r="B13" s="36"/>
      <c r="C13" s="388" t="s">
        <v>33</v>
      </c>
      <c r="D13" s="38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102</v>
      </c>
    </row>
    <row r="19" spans="1:20" x14ac:dyDescent="0.2">
      <c r="A19" s="36"/>
      <c r="B19" s="388" t="s">
        <v>88</v>
      </c>
      <c r="C19" s="388"/>
      <c r="D19" s="38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88" t="s">
        <v>89</v>
      </c>
      <c r="C20" s="388"/>
      <c r="D20" s="38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88" t="s">
        <v>90</v>
      </c>
      <c r="C21" s="388"/>
      <c r="D21" s="38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88" t="s">
        <v>57</v>
      </c>
      <c r="C22" s="388"/>
      <c r="D22" s="38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89" t="s">
        <v>94</v>
      </c>
      <c r="I27" s="389"/>
      <c r="J27" s="389"/>
      <c r="K27" s="389"/>
      <c r="L27" s="389"/>
      <c r="M27" s="389"/>
      <c r="N27" s="389"/>
      <c r="O27" s="389"/>
      <c r="P27" s="389"/>
      <c r="Q27" s="389"/>
      <c r="R27" s="389"/>
      <c r="S27" s="389"/>
      <c r="T27" s="389"/>
    </row>
    <row r="28" spans="1:20" x14ac:dyDescent="0.2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2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90" t="s">
        <v>98</v>
      </c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</row>
    <row r="38" spans="1:18" ht="16" x14ac:dyDescent="0.2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2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89" t="s">
        <v>100</v>
      </c>
      <c r="G48" s="389"/>
      <c r="H48" s="389"/>
      <c r="I48" s="389"/>
      <c r="J48" s="389"/>
      <c r="K48" s="389"/>
      <c r="L48" s="389"/>
      <c r="M48" s="389"/>
      <c r="N48" s="389"/>
      <c r="O48" s="389"/>
      <c r="P48" s="389"/>
      <c r="Q48" s="389"/>
      <c r="R48" s="389"/>
    </row>
    <row r="49" spans="1:18" x14ac:dyDescent="0.2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2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15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2" t="s">
        <v>33</v>
      </c>
      <c r="S8" s="37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15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15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15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15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15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15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15">
      <c r="A75" s="10"/>
      <c r="B75" s="10"/>
      <c r="C75" s="10"/>
      <c r="D75" s="392" t="s">
        <v>41</v>
      </c>
      <c r="E75" s="39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15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schemas.microsoft.com/office/infopath/2007/PartnerControls"/>
    <ds:schemaRef ds:uri="cac5d118-ba7b-4807-b700-df6f95cfff50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66951ee6-cd93-49c7-9437-e871b2a117d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2021-06-01T16:04:30Z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